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8842088D-4470-4F1C-9422-BF8965FA22D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1-'!$A$1:$L$884</definedName>
    <definedName name="_xlnm.Print_Area" localSheetId="0">'Смета СН-2012 по гл. 1-5'!$A$1:$K$885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76" i="7" l="1"/>
  <c r="F847" i="1"/>
  <c r="J877" i="7"/>
  <c r="J875" i="7"/>
  <c r="I868" i="8"/>
  <c r="H868" i="8"/>
  <c r="F868" i="8"/>
  <c r="F867" i="8"/>
  <c r="F866" i="8"/>
  <c r="J865" i="8"/>
  <c r="I865" i="8"/>
  <c r="H865" i="8"/>
  <c r="G865" i="8"/>
  <c r="J864" i="8"/>
  <c r="I864" i="8"/>
  <c r="H864" i="8"/>
  <c r="G864" i="8"/>
  <c r="E862" i="8"/>
  <c r="D862" i="8"/>
  <c r="C862" i="8"/>
  <c r="I860" i="8"/>
  <c r="H860" i="8"/>
  <c r="F860" i="8"/>
  <c r="F859" i="8"/>
  <c r="F858" i="8"/>
  <c r="J857" i="8"/>
  <c r="I857" i="8"/>
  <c r="H857" i="8"/>
  <c r="G857" i="8"/>
  <c r="J856" i="8"/>
  <c r="I856" i="8"/>
  <c r="H856" i="8"/>
  <c r="G856" i="8"/>
  <c r="E854" i="8"/>
  <c r="D854" i="8"/>
  <c r="C854" i="8"/>
  <c r="I852" i="8"/>
  <c r="H852" i="8"/>
  <c r="F852" i="8"/>
  <c r="F851" i="8"/>
  <c r="F850" i="8"/>
  <c r="J849" i="8"/>
  <c r="I849" i="8"/>
  <c r="H849" i="8"/>
  <c r="G849" i="8"/>
  <c r="J848" i="8"/>
  <c r="I848" i="8"/>
  <c r="H848" i="8"/>
  <c r="G848" i="8"/>
  <c r="E846" i="8"/>
  <c r="D846" i="8"/>
  <c r="C846" i="8"/>
  <c r="I844" i="8"/>
  <c r="H844" i="8"/>
  <c r="F844" i="8"/>
  <c r="F843" i="8"/>
  <c r="F842" i="8"/>
  <c r="J841" i="8"/>
  <c r="I841" i="8"/>
  <c r="H841" i="8"/>
  <c r="G841" i="8"/>
  <c r="J840" i="8"/>
  <c r="I840" i="8"/>
  <c r="H840" i="8"/>
  <c r="G840" i="8"/>
  <c r="E838" i="8"/>
  <c r="D838" i="8"/>
  <c r="C838" i="8"/>
  <c r="I836" i="8"/>
  <c r="H836" i="8"/>
  <c r="F836" i="8"/>
  <c r="F835" i="8"/>
  <c r="F834" i="8"/>
  <c r="F833" i="8"/>
  <c r="J832" i="8"/>
  <c r="I832" i="8"/>
  <c r="H832" i="8"/>
  <c r="G832" i="8"/>
  <c r="J831" i="8"/>
  <c r="I831" i="8"/>
  <c r="H831" i="8"/>
  <c r="G831" i="8"/>
  <c r="J830" i="8"/>
  <c r="I830" i="8"/>
  <c r="H830" i="8"/>
  <c r="G830" i="8"/>
  <c r="J829" i="8"/>
  <c r="I829" i="8"/>
  <c r="H829" i="8"/>
  <c r="G829" i="8"/>
  <c r="E827" i="8"/>
  <c r="D827" i="8"/>
  <c r="C827" i="8"/>
  <c r="I825" i="8"/>
  <c r="H825" i="8"/>
  <c r="F825" i="8"/>
  <c r="F824" i="8"/>
  <c r="F823" i="8"/>
  <c r="J822" i="8"/>
  <c r="I822" i="8"/>
  <c r="H822" i="8"/>
  <c r="G822" i="8"/>
  <c r="E820" i="8"/>
  <c r="D820" i="8"/>
  <c r="C820" i="8"/>
  <c r="I818" i="8"/>
  <c r="H818" i="8"/>
  <c r="F818" i="8"/>
  <c r="F817" i="8"/>
  <c r="F816" i="8"/>
  <c r="J815" i="8"/>
  <c r="I815" i="8"/>
  <c r="H815" i="8"/>
  <c r="G815" i="8"/>
  <c r="J814" i="8"/>
  <c r="I814" i="8"/>
  <c r="H814" i="8"/>
  <c r="G814" i="8"/>
  <c r="E812" i="8"/>
  <c r="I810" i="8"/>
  <c r="H810" i="8"/>
  <c r="F810" i="8"/>
  <c r="F809" i="8"/>
  <c r="F808" i="8"/>
  <c r="J807" i="8"/>
  <c r="I807" i="8"/>
  <c r="H807" i="8"/>
  <c r="G807" i="8"/>
  <c r="J806" i="8"/>
  <c r="I806" i="8"/>
  <c r="H806" i="8"/>
  <c r="G806" i="8"/>
  <c r="E804" i="8"/>
  <c r="I802" i="8"/>
  <c r="H802" i="8"/>
  <c r="F802" i="8"/>
  <c r="F801" i="8"/>
  <c r="F800" i="8"/>
  <c r="J799" i="8"/>
  <c r="I799" i="8"/>
  <c r="H799" i="8"/>
  <c r="G799" i="8"/>
  <c r="J798" i="8"/>
  <c r="I798" i="8"/>
  <c r="H798" i="8"/>
  <c r="G798" i="8"/>
  <c r="J797" i="8"/>
  <c r="I797" i="8"/>
  <c r="H797" i="8"/>
  <c r="G797" i="8"/>
  <c r="E795" i="8"/>
  <c r="D795" i="8"/>
  <c r="C795" i="8"/>
  <c r="I793" i="8"/>
  <c r="H793" i="8"/>
  <c r="F793" i="8"/>
  <c r="F792" i="8"/>
  <c r="F791" i="8"/>
  <c r="J790" i="8"/>
  <c r="I790" i="8"/>
  <c r="H790" i="8"/>
  <c r="G790" i="8"/>
  <c r="J789" i="8"/>
  <c r="I789" i="8"/>
  <c r="H789" i="8"/>
  <c r="G789" i="8"/>
  <c r="F788" i="8"/>
  <c r="E788" i="8"/>
  <c r="D788" i="8"/>
  <c r="C788" i="8"/>
  <c r="A787" i="8"/>
  <c r="I781" i="8"/>
  <c r="H781" i="8"/>
  <c r="F781" i="8"/>
  <c r="F780" i="8"/>
  <c r="F779" i="8"/>
  <c r="F778" i="8"/>
  <c r="J777" i="8"/>
  <c r="I777" i="8"/>
  <c r="H777" i="8"/>
  <c r="G777" i="8"/>
  <c r="J776" i="8"/>
  <c r="I776" i="8"/>
  <c r="H776" i="8"/>
  <c r="G776" i="8"/>
  <c r="J775" i="8"/>
  <c r="I775" i="8"/>
  <c r="H775" i="8"/>
  <c r="G775" i="8"/>
  <c r="J774" i="8"/>
  <c r="I774" i="8"/>
  <c r="H774" i="8"/>
  <c r="G774" i="8"/>
  <c r="F773" i="8"/>
  <c r="E773" i="8"/>
  <c r="D773" i="8"/>
  <c r="C773" i="8"/>
  <c r="I771" i="8"/>
  <c r="H771" i="8"/>
  <c r="F771" i="8"/>
  <c r="F770" i="8"/>
  <c r="F769" i="8"/>
  <c r="F768" i="8"/>
  <c r="J767" i="8"/>
  <c r="I767" i="8"/>
  <c r="H767" i="8"/>
  <c r="G767" i="8"/>
  <c r="J766" i="8"/>
  <c r="I766" i="8"/>
  <c r="H766" i="8"/>
  <c r="G766" i="8"/>
  <c r="J765" i="8"/>
  <c r="I765" i="8"/>
  <c r="H765" i="8"/>
  <c r="G765" i="8"/>
  <c r="J764" i="8"/>
  <c r="I764" i="8"/>
  <c r="H764" i="8"/>
  <c r="G764" i="8"/>
  <c r="F763" i="8"/>
  <c r="E763" i="8"/>
  <c r="D763" i="8"/>
  <c r="C763" i="8"/>
  <c r="A762" i="8"/>
  <c r="I756" i="8"/>
  <c r="H756" i="8"/>
  <c r="F756" i="8"/>
  <c r="F755" i="8"/>
  <c r="F754" i="8"/>
  <c r="F753" i="8"/>
  <c r="J752" i="8"/>
  <c r="I752" i="8"/>
  <c r="H752" i="8"/>
  <c r="G752" i="8"/>
  <c r="J751" i="8"/>
  <c r="I751" i="8"/>
  <c r="H751" i="8"/>
  <c r="G751" i="8"/>
  <c r="J750" i="8"/>
  <c r="I750" i="8"/>
  <c r="H750" i="8"/>
  <c r="G750" i="8"/>
  <c r="F749" i="8"/>
  <c r="E749" i="8"/>
  <c r="D749" i="8"/>
  <c r="C749" i="8"/>
  <c r="I747" i="8"/>
  <c r="H747" i="8"/>
  <c r="F747" i="8"/>
  <c r="F746" i="8"/>
  <c r="F745" i="8"/>
  <c r="J744" i="8"/>
  <c r="I744" i="8"/>
  <c r="H744" i="8"/>
  <c r="G744" i="8"/>
  <c r="E742" i="8"/>
  <c r="D742" i="8"/>
  <c r="C742" i="8"/>
  <c r="I740" i="8"/>
  <c r="H740" i="8"/>
  <c r="F740" i="8"/>
  <c r="F739" i="8"/>
  <c r="F738" i="8"/>
  <c r="J737" i="8"/>
  <c r="I737" i="8"/>
  <c r="H737" i="8"/>
  <c r="G737" i="8"/>
  <c r="J736" i="8"/>
  <c r="I736" i="8"/>
  <c r="H736" i="8"/>
  <c r="G736" i="8"/>
  <c r="E734" i="8"/>
  <c r="D734" i="8"/>
  <c r="C734" i="8"/>
  <c r="I732" i="8"/>
  <c r="H732" i="8"/>
  <c r="F732" i="8"/>
  <c r="F731" i="8"/>
  <c r="F730" i="8"/>
  <c r="J729" i="8"/>
  <c r="I729" i="8"/>
  <c r="H729" i="8"/>
  <c r="G729" i="8"/>
  <c r="E727" i="8"/>
  <c r="D727" i="8"/>
  <c r="C727" i="8"/>
  <c r="I725" i="8"/>
  <c r="H725" i="8"/>
  <c r="F725" i="8"/>
  <c r="F724" i="8"/>
  <c r="F723" i="8"/>
  <c r="F722" i="8"/>
  <c r="J721" i="8"/>
  <c r="I721" i="8"/>
  <c r="H721" i="8"/>
  <c r="G721" i="8"/>
  <c r="J720" i="8"/>
  <c r="I720" i="8"/>
  <c r="H720" i="8"/>
  <c r="G720" i="8"/>
  <c r="J719" i="8"/>
  <c r="I719" i="8"/>
  <c r="H719" i="8"/>
  <c r="G719" i="8"/>
  <c r="F718" i="8"/>
  <c r="E718" i="8"/>
  <c r="D718" i="8"/>
  <c r="C718" i="8"/>
  <c r="I716" i="8"/>
  <c r="H716" i="8"/>
  <c r="F716" i="8"/>
  <c r="F715" i="8"/>
  <c r="F714" i="8"/>
  <c r="F713" i="8"/>
  <c r="J712" i="8"/>
  <c r="I712" i="8"/>
  <c r="H712" i="8"/>
  <c r="G712" i="8"/>
  <c r="J711" i="8"/>
  <c r="I711" i="8"/>
  <c r="H711" i="8"/>
  <c r="G711" i="8"/>
  <c r="J710" i="8"/>
  <c r="I710" i="8"/>
  <c r="H710" i="8"/>
  <c r="G710" i="8"/>
  <c r="J709" i="8"/>
  <c r="I709" i="8"/>
  <c r="H709" i="8"/>
  <c r="G709" i="8"/>
  <c r="E707" i="8"/>
  <c r="D707" i="8"/>
  <c r="C707" i="8"/>
  <c r="I705" i="8"/>
  <c r="H705" i="8"/>
  <c r="F705" i="8"/>
  <c r="F704" i="8"/>
  <c r="F703" i="8"/>
  <c r="F702" i="8"/>
  <c r="J701" i="8"/>
  <c r="I701" i="8"/>
  <c r="H701" i="8"/>
  <c r="G701" i="8"/>
  <c r="J700" i="8"/>
  <c r="I700" i="8"/>
  <c r="H700" i="8"/>
  <c r="G700" i="8"/>
  <c r="J699" i="8"/>
  <c r="I699" i="8"/>
  <c r="H699" i="8"/>
  <c r="G699" i="8"/>
  <c r="J698" i="8"/>
  <c r="I698" i="8"/>
  <c r="H698" i="8"/>
  <c r="G698" i="8"/>
  <c r="E696" i="8"/>
  <c r="D696" i="8"/>
  <c r="C696" i="8"/>
  <c r="I694" i="8"/>
  <c r="H694" i="8"/>
  <c r="F694" i="8"/>
  <c r="F693" i="8"/>
  <c r="F692" i="8"/>
  <c r="F691" i="8"/>
  <c r="J690" i="8"/>
  <c r="I690" i="8"/>
  <c r="H690" i="8"/>
  <c r="G690" i="8"/>
  <c r="J689" i="8"/>
  <c r="I689" i="8"/>
  <c r="H689" i="8"/>
  <c r="G689" i="8"/>
  <c r="J688" i="8"/>
  <c r="I688" i="8"/>
  <c r="H688" i="8"/>
  <c r="G688" i="8"/>
  <c r="J687" i="8"/>
  <c r="I687" i="8"/>
  <c r="H687" i="8"/>
  <c r="G687" i="8"/>
  <c r="F686" i="8"/>
  <c r="E686" i="8"/>
  <c r="D686" i="8"/>
  <c r="C686" i="8"/>
  <c r="I684" i="8"/>
  <c r="H684" i="8"/>
  <c r="F684" i="8"/>
  <c r="F683" i="8"/>
  <c r="F682" i="8"/>
  <c r="F681" i="8"/>
  <c r="J680" i="8"/>
  <c r="I680" i="8"/>
  <c r="H680" i="8"/>
  <c r="G680" i="8"/>
  <c r="J679" i="8"/>
  <c r="I679" i="8"/>
  <c r="H679" i="8"/>
  <c r="G679" i="8"/>
  <c r="J678" i="8"/>
  <c r="I678" i="8"/>
  <c r="H678" i="8"/>
  <c r="G678" i="8"/>
  <c r="J677" i="8"/>
  <c r="I677" i="8"/>
  <c r="H677" i="8"/>
  <c r="G677" i="8"/>
  <c r="F676" i="8"/>
  <c r="E676" i="8"/>
  <c r="D676" i="8"/>
  <c r="C676" i="8"/>
  <c r="A675" i="8"/>
  <c r="A673" i="8"/>
  <c r="I664" i="8"/>
  <c r="H664" i="8"/>
  <c r="F664" i="8"/>
  <c r="F663" i="8"/>
  <c r="F662" i="8"/>
  <c r="J661" i="8"/>
  <c r="I661" i="8"/>
  <c r="H661" i="8"/>
  <c r="G661" i="8"/>
  <c r="J660" i="8"/>
  <c r="I660" i="8"/>
  <c r="H660" i="8"/>
  <c r="G660" i="8"/>
  <c r="E658" i="8"/>
  <c r="D658" i="8"/>
  <c r="C658" i="8"/>
  <c r="I656" i="8"/>
  <c r="H656" i="8"/>
  <c r="F656" i="8"/>
  <c r="F655" i="8"/>
  <c r="F654" i="8"/>
  <c r="J653" i="8"/>
  <c r="I653" i="8"/>
  <c r="H653" i="8"/>
  <c r="G653" i="8"/>
  <c r="J652" i="8"/>
  <c r="I652" i="8"/>
  <c r="H652" i="8"/>
  <c r="G652" i="8"/>
  <c r="E650" i="8"/>
  <c r="D650" i="8"/>
  <c r="C650" i="8"/>
  <c r="I648" i="8"/>
  <c r="H648" i="8"/>
  <c r="F648" i="8"/>
  <c r="F647" i="8"/>
  <c r="F646" i="8"/>
  <c r="J645" i="8"/>
  <c r="I645" i="8"/>
  <c r="H645" i="8"/>
  <c r="G645" i="8"/>
  <c r="J644" i="8"/>
  <c r="I644" i="8"/>
  <c r="H644" i="8"/>
  <c r="G644" i="8"/>
  <c r="E642" i="8"/>
  <c r="D642" i="8"/>
  <c r="C642" i="8"/>
  <c r="I640" i="8"/>
  <c r="H640" i="8"/>
  <c r="F640" i="8"/>
  <c r="F639" i="8"/>
  <c r="F638" i="8"/>
  <c r="F637" i="8"/>
  <c r="J636" i="8"/>
  <c r="I636" i="8"/>
  <c r="H636" i="8"/>
  <c r="G636" i="8"/>
  <c r="J635" i="8"/>
  <c r="I635" i="8"/>
  <c r="H635" i="8"/>
  <c r="G635" i="8"/>
  <c r="J634" i="8"/>
  <c r="I634" i="8"/>
  <c r="H634" i="8"/>
  <c r="G634" i="8"/>
  <c r="J633" i="8"/>
  <c r="I633" i="8"/>
  <c r="H633" i="8"/>
  <c r="G633" i="8"/>
  <c r="E631" i="8"/>
  <c r="D631" i="8"/>
  <c r="C631" i="8"/>
  <c r="I629" i="8"/>
  <c r="H629" i="8"/>
  <c r="F629" i="8"/>
  <c r="F628" i="8"/>
  <c r="F627" i="8"/>
  <c r="J626" i="8"/>
  <c r="I626" i="8"/>
  <c r="H626" i="8"/>
  <c r="G626" i="8"/>
  <c r="E624" i="8"/>
  <c r="D624" i="8"/>
  <c r="C624" i="8"/>
  <c r="I622" i="8"/>
  <c r="H622" i="8"/>
  <c r="F622" i="8"/>
  <c r="F621" i="8"/>
  <c r="F620" i="8"/>
  <c r="J619" i="8"/>
  <c r="I619" i="8"/>
  <c r="H619" i="8"/>
  <c r="G619" i="8"/>
  <c r="J618" i="8"/>
  <c r="I618" i="8"/>
  <c r="H618" i="8"/>
  <c r="G618" i="8"/>
  <c r="E616" i="8"/>
  <c r="D616" i="8"/>
  <c r="C616" i="8"/>
  <c r="I614" i="8"/>
  <c r="H614" i="8"/>
  <c r="F614" i="8"/>
  <c r="F613" i="8"/>
  <c r="F612" i="8"/>
  <c r="J611" i="8"/>
  <c r="I611" i="8"/>
  <c r="H611" i="8"/>
  <c r="G611" i="8"/>
  <c r="J610" i="8"/>
  <c r="I610" i="8"/>
  <c r="H610" i="8"/>
  <c r="G610" i="8"/>
  <c r="E608" i="8"/>
  <c r="I606" i="8"/>
  <c r="H606" i="8"/>
  <c r="F606" i="8"/>
  <c r="F605" i="8"/>
  <c r="F604" i="8"/>
  <c r="J603" i="8"/>
  <c r="I603" i="8"/>
  <c r="H603" i="8"/>
  <c r="G603" i="8"/>
  <c r="J602" i="8"/>
  <c r="I602" i="8"/>
  <c r="H602" i="8"/>
  <c r="G602" i="8"/>
  <c r="E600" i="8"/>
  <c r="I598" i="8"/>
  <c r="H598" i="8"/>
  <c r="F598" i="8"/>
  <c r="F597" i="8"/>
  <c r="F596" i="8"/>
  <c r="J595" i="8"/>
  <c r="I595" i="8"/>
  <c r="H595" i="8"/>
  <c r="G595" i="8"/>
  <c r="J594" i="8"/>
  <c r="I594" i="8"/>
  <c r="H594" i="8"/>
  <c r="G594" i="8"/>
  <c r="J593" i="8"/>
  <c r="I593" i="8"/>
  <c r="H593" i="8"/>
  <c r="G593" i="8"/>
  <c r="E591" i="8"/>
  <c r="D591" i="8"/>
  <c r="C591" i="8"/>
  <c r="I589" i="8"/>
  <c r="H589" i="8"/>
  <c r="F589" i="8"/>
  <c r="F588" i="8"/>
  <c r="F587" i="8"/>
  <c r="J586" i="8"/>
  <c r="I586" i="8"/>
  <c r="H586" i="8"/>
  <c r="G586" i="8"/>
  <c r="J585" i="8"/>
  <c r="I585" i="8"/>
  <c r="H585" i="8"/>
  <c r="G585" i="8"/>
  <c r="F584" i="8"/>
  <c r="E584" i="8"/>
  <c r="D584" i="8"/>
  <c r="C584" i="8"/>
  <c r="A583" i="8"/>
  <c r="I577" i="8"/>
  <c r="H577" i="8"/>
  <c r="F577" i="8"/>
  <c r="F576" i="8"/>
  <c r="F575" i="8"/>
  <c r="J574" i="8"/>
  <c r="I574" i="8"/>
  <c r="H574" i="8"/>
  <c r="G574" i="8"/>
  <c r="J573" i="8"/>
  <c r="I573" i="8"/>
  <c r="H573" i="8"/>
  <c r="G573" i="8"/>
  <c r="F572" i="8"/>
  <c r="E572" i="8"/>
  <c r="D572" i="8"/>
  <c r="C572" i="8"/>
  <c r="I570" i="8"/>
  <c r="H570" i="8"/>
  <c r="F570" i="8"/>
  <c r="F569" i="8"/>
  <c r="F568" i="8"/>
  <c r="F567" i="8"/>
  <c r="J566" i="8"/>
  <c r="I566" i="8"/>
  <c r="H566" i="8"/>
  <c r="G566" i="8"/>
  <c r="J565" i="8"/>
  <c r="I565" i="8"/>
  <c r="H565" i="8"/>
  <c r="G565" i="8"/>
  <c r="J564" i="8"/>
  <c r="I564" i="8"/>
  <c r="H564" i="8"/>
  <c r="G564" i="8"/>
  <c r="E562" i="8"/>
  <c r="D562" i="8"/>
  <c r="C562" i="8"/>
  <c r="I560" i="8"/>
  <c r="H560" i="8"/>
  <c r="F560" i="8"/>
  <c r="F559" i="8"/>
  <c r="F558" i="8"/>
  <c r="J557" i="8"/>
  <c r="I557" i="8"/>
  <c r="H557" i="8"/>
  <c r="G557" i="8"/>
  <c r="J556" i="8"/>
  <c r="I556" i="8"/>
  <c r="H556" i="8"/>
  <c r="G556" i="8"/>
  <c r="F555" i="8"/>
  <c r="E555" i="8"/>
  <c r="D555" i="8"/>
  <c r="C555" i="8"/>
  <c r="I553" i="8"/>
  <c r="H553" i="8"/>
  <c r="F553" i="8"/>
  <c r="F552" i="8"/>
  <c r="F551" i="8"/>
  <c r="F550" i="8"/>
  <c r="J549" i="8"/>
  <c r="I549" i="8"/>
  <c r="H549" i="8"/>
  <c r="G549" i="8"/>
  <c r="J548" i="8"/>
  <c r="I548" i="8"/>
  <c r="H548" i="8"/>
  <c r="G548" i="8"/>
  <c r="J547" i="8"/>
  <c r="I547" i="8"/>
  <c r="H547" i="8"/>
  <c r="G547" i="8"/>
  <c r="J546" i="8"/>
  <c r="I546" i="8"/>
  <c r="H546" i="8"/>
  <c r="G546" i="8"/>
  <c r="E544" i="8"/>
  <c r="D544" i="8"/>
  <c r="C544" i="8"/>
  <c r="I542" i="8"/>
  <c r="H542" i="8"/>
  <c r="F542" i="8"/>
  <c r="F541" i="8"/>
  <c r="F540" i="8"/>
  <c r="F539" i="8"/>
  <c r="J538" i="8"/>
  <c r="I538" i="8"/>
  <c r="H538" i="8"/>
  <c r="G538" i="8"/>
  <c r="J537" i="8"/>
  <c r="I537" i="8"/>
  <c r="H537" i="8"/>
  <c r="G537" i="8"/>
  <c r="J536" i="8"/>
  <c r="I536" i="8"/>
  <c r="H536" i="8"/>
  <c r="G536" i="8"/>
  <c r="J535" i="8"/>
  <c r="I535" i="8"/>
  <c r="H535" i="8"/>
  <c r="G535" i="8"/>
  <c r="E533" i="8"/>
  <c r="D533" i="8"/>
  <c r="C533" i="8"/>
  <c r="A532" i="8"/>
  <c r="I526" i="8"/>
  <c r="H526" i="8"/>
  <c r="F526" i="8"/>
  <c r="F525" i="8"/>
  <c r="F524" i="8"/>
  <c r="J523" i="8"/>
  <c r="I523" i="8"/>
  <c r="H523" i="8"/>
  <c r="G523" i="8"/>
  <c r="E521" i="8"/>
  <c r="D521" i="8"/>
  <c r="C521" i="8"/>
  <c r="I519" i="8"/>
  <c r="H519" i="8"/>
  <c r="F519" i="8"/>
  <c r="F518" i="8"/>
  <c r="F517" i="8"/>
  <c r="J516" i="8"/>
  <c r="I516" i="8"/>
  <c r="H516" i="8"/>
  <c r="G516" i="8"/>
  <c r="J515" i="8"/>
  <c r="I515" i="8"/>
  <c r="H515" i="8"/>
  <c r="G515" i="8"/>
  <c r="E513" i="8"/>
  <c r="D513" i="8"/>
  <c r="C513" i="8"/>
  <c r="I511" i="8"/>
  <c r="H511" i="8"/>
  <c r="F511" i="8"/>
  <c r="F510" i="8"/>
  <c r="F509" i="8"/>
  <c r="J508" i="8"/>
  <c r="I508" i="8"/>
  <c r="H508" i="8"/>
  <c r="G508" i="8"/>
  <c r="E506" i="8"/>
  <c r="D506" i="8"/>
  <c r="C506" i="8"/>
  <c r="I504" i="8"/>
  <c r="H504" i="8"/>
  <c r="F504" i="8"/>
  <c r="F503" i="8"/>
  <c r="F502" i="8"/>
  <c r="F501" i="8"/>
  <c r="J500" i="8"/>
  <c r="I500" i="8"/>
  <c r="H500" i="8"/>
  <c r="G500" i="8"/>
  <c r="J499" i="8"/>
  <c r="I499" i="8"/>
  <c r="H499" i="8"/>
  <c r="G499" i="8"/>
  <c r="J498" i="8"/>
  <c r="I498" i="8"/>
  <c r="H498" i="8"/>
  <c r="G498" i="8"/>
  <c r="E496" i="8"/>
  <c r="D496" i="8"/>
  <c r="C496" i="8"/>
  <c r="I494" i="8"/>
  <c r="H494" i="8"/>
  <c r="F494" i="8"/>
  <c r="F493" i="8"/>
  <c r="F492" i="8"/>
  <c r="F491" i="8"/>
  <c r="J490" i="8"/>
  <c r="I490" i="8"/>
  <c r="H490" i="8"/>
  <c r="G490" i="8"/>
  <c r="J489" i="8"/>
  <c r="I489" i="8"/>
  <c r="H489" i="8"/>
  <c r="G489" i="8"/>
  <c r="J488" i="8"/>
  <c r="I488" i="8"/>
  <c r="H488" i="8"/>
  <c r="G488" i="8"/>
  <c r="J487" i="8"/>
  <c r="I487" i="8"/>
  <c r="H487" i="8"/>
  <c r="G487" i="8"/>
  <c r="E485" i="8"/>
  <c r="D485" i="8"/>
  <c r="C485" i="8"/>
  <c r="I483" i="8"/>
  <c r="H483" i="8"/>
  <c r="F483" i="8"/>
  <c r="F482" i="8"/>
  <c r="F481" i="8"/>
  <c r="F480" i="8"/>
  <c r="J479" i="8"/>
  <c r="I479" i="8"/>
  <c r="H479" i="8"/>
  <c r="G479" i="8"/>
  <c r="J478" i="8"/>
  <c r="I478" i="8"/>
  <c r="H478" i="8"/>
  <c r="G478" i="8"/>
  <c r="J477" i="8"/>
  <c r="I477" i="8"/>
  <c r="H477" i="8"/>
  <c r="G477" i="8"/>
  <c r="J476" i="8"/>
  <c r="I476" i="8"/>
  <c r="H476" i="8"/>
  <c r="G476" i="8"/>
  <c r="E474" i="8"/>
  <c r="D474" i="8"/>
  <c r="C474" i="8"/>
  <c r="A473" i="8"/>
  <c r="A471" i="8"/>
  <c r="I462" i="8"/>
  <c r="H462" i="8"/>
  <c r="F462" i="8"/>
  <c r="F461" i="8"/>
  <c r="F460" i="8"/>
  <c r="J459" i="8"/>
  <c r="I459" i="8"/>
  <c r="H459" i="8"/>
  <c r="G459" i="8"/>
  <c r="J458" i="8"/>
  <c r="I458" i="8"/>
  <c r="H458" i="8"/>
  <c r="G458" i="8"/>
  <c r="E456" i="8"/>
  <c r="D456" i="8"/>
  <c r="C456" i="8"/>
  <c r="I454" i="8"/>
  <c r="H454" i="8"/>
  <c r="F454" i="8"/>
  <c r="F453" i="8"/>
  <c r="F452" i="8"/>
  <c r="J451" i="8"/>
  <c r="I451" i="8"/>
  <c r="H451" i="8"/>
  <c r="G451" i="8"/>
  <c r="J450" i="8"/>
  <c r="I450" i="8"/>
  <c r="H450" i="8"/>
  <c r="G450" i="8"/>
  <c r="E448" i="8"/>
  <c r="D448" i="8"/>
  <c r="C448" i="8"/>
  <c r="I446" i="8"/>
  <c r="H446" i="8"/>
  <c r="F446" i="8"/>
  <c r="F445" i="8"/>
  <c r="F444" i="8"/>
  <c r="J443" i="8"/>
  <c r="I443" i="8"/>
  <c r="H443" i="8"/>
  <c r="G443" i="8"/>
  <c r="J442" i="8"/>
  <c r="I442" i="8"/>
  <c r="H442" i="8"/>
  <c r="G442" i="8"/>
  <c r="E440" i="8"/>
  <c r="D440" i="8"/>
  <c r="C440" i="8"/>
  <c r="I438" i="8"/>
  <c r="H438" i="8"/>
  <c r="F438" i="8"/>
  <c r="F437" i="8"/>
  <c r="F436" i="8"/>
  <c r="F435" i="8"/>
  <c r="J434" i="8"/>
  <c r="I434" i="8"/>
  <c r="H434" i="8"/>
  <c r="G434" i="8"/>
  <c r="J433" i="8"/>
  <c r="I433" i="8"/>
  <c r="H433" i="8"/>
  <c r="G433" i="8"/>
  <c r="J432" i="8"/>
  <c r="I432" i="8"/>
  <c r="H432" i="8"/>
  <c r="G432" i="8"/>
  <c r="J431" i="8"/>
  <c r="I431" i="8"/>
  <c r="H431" i="8"/>
  <c r="G431" i="8"/>
  <c r="E429" i="8"/>
  <c r="D429" i="8"/>
  <c r="C429" i="8"/>
  <c r="I427" i="8"/>
  <c r="H427" i="8"/>
  <c r="F427" i="8"/>
  <c r="F426" i="8"/>
  <c r="F425" i="8"/>
  <c r="J424" i="8"/>
  <c r="I424" i="8"/>
  <c r="H424" i="8"/>
  <c r="G424" i="8"/>
  <c r="E422" i="8"/>
  <c r="D422" i="8"/>
  <c r="C422" i="8"/>
  <c r="I420" i="8"/>
  <c r="H420" i="8"/>
  <c r="F420" i="8"/>
  <c r="F419" i="8"/>
  <c r="F418" i="8"/>
  <c r="J417" i="8"/>
  <c r="I417" i="8"/>
  <c r="H417" i="8"/>
  <c r="G417" i="8"/>
  <c r="J416" i="8"/>
  <c r="I416" i="8"/>
  <c r="H416" i="8"/>
  <c r="G416" i="8"/>
  <c r="E414" i="8"/>
  <c r="D414" i="8"/>
  <c r="C414" i="8"/>
  <c r="I412" i="8"/>
  <c r="H412" i="8"/>
  <c r="F412" i="8"/>
  <c r="F411" i="8"/>
  <c r="F410" i="8"/>
  <c r="J409" i="8"/>
  <c r="I409" i="8"/>
  <c r="H409" i="8"/>
  <c r="G409" i="8"/>
  <c r="J408" i="8"/>
  <c r="I408" i="8"/>
  <c r="H408" i="8"/>
  <c r="G408" i="8"/>
  <c r="E406" i="8"/>
  <c r="I404" i="8"/>
  <c r="H404" i="8"/>
  <c r="F404" i="8"/>
  <c r="F403" i="8"/>
  <c r="F402" i="8"/>
  <c r="J401" i="8"/>
  <c r="I401" i="8"/>
  <c r="H401" i="8"/>
  <c r="G401" i="8"/>
  <c r="J400" i="8"/>
  <c r="I400" i="8"/>
  <c r="H400" i="8"/>
  <c r="G400" i="8"/>
  <c r="E398" i="8"/>
  <c r="I396" i="8"/>
  <c r="H396" i="8"/>
  <c r="F396" i="8"/>
  <c r="F395" i="8"/>
  <c r="F394" i="8"/>
  <c r="F393" i="8"/>
  <c r="J392" i="8"/>
  <c r="I392" i="8"/>
  <c r="H392" i="8"/>
  <c r="G392" i="8"/>
  <c r="J391" i="8"/>
  <c r="I391" i="8"/>
  <c r="H391" i="8"/>
  <c r="G391" i="8"/>
  <c r="J390" i="8"/>
  <c r="I390" i="8"/>
  <c r="H390" i="8"/>
  <c r="G390" i="8"/>
  <c r="J389" i="8"/>
  <c r="I389" i="8"/>
  <c r="H389" i="8"/>
  <c r="G389" i="8"/>
  <c r="E387" i="8"/>
  <c r="D387" i="8"/>
  <c r="C387" i="8"/>
  <c r="I385" i="8"/>
  <c r="H385" i="8"/>
  <c r="F385" i="8"/>
  <c r="F384" i="8"/>
  <c r="F383" i="8"/>
  <c r="F382" i="8"/>
  <c r="J381" i="8"/>
  <c r="I381" i="8"/>
  <c r="H381" i="8"/>
  <c r="G381" i="8"/>
  <c r="J380" i="8"/>
  <c r="I380" i="8"/>
  <c r="H380" i="8"/>
  <c r="G380" i="8"/>
  <c r="J379" i="8"/>
  <c r="I379" i="8"/>
  <c r="H379" i="8"/>
  <c r="G379" i="8"/>
  <c r="J378" i="8"/>
  <c r="I378" i="8"/>
  <c r="H378" i="8"/>
  <c r="G378" i="8"/>
  <c r="E376" i="8"/>
  <c r="D376" i="8"/>
  <c r="C376" i="8"/>
  <c r="I374" i="8"/>
  <c r="H374" i="8"/>
  <c r="F374" i="8"/>
  <c r="F373" i="8"/>
  <c r="F372" i="8"/>
  <c r="J371" i="8"/>
  <c r="I371" i="8"/>
  <c r="H371" i="8"/>
  <c r="G371" i="8"/>
  <c r="J370" i="8"/>
  <c r="I370" i="8"/>
  <c r="H370" i="8"/>
  <c r="G370" i="8"/>
  <c r="J369" i="8"/>
  <c r="I369" i="8"/>
  <c r="H369" i="8"/>
  <c r="G369" i="8"/>
  <c r="E367" i="8"/>
  <c r="D367" i="8"/>
  <c r="C367" i="8"/>
  <c r="I365" i="8"/>
  <c r="H365" i="8"/>
  <c r="F365" i="8"/>
  <c r="F364" i="8"/>
  <c r="F363" i="8"/>
  <c r="J362" i="8"/>
  <c r="I362" i="8"/>
  <c r="H362" i="8"/>
  <c r="G362" i="8"/>
  <c r="J361" i="8"/>
  <c r="I361" i="8"/>
  <c r="H361" i="8"/>
  <c r="G361" i="8"/>
  <c r="F360" i="8"/>
  <c r="E360" i="8"/>
  <c r="D360" i="8"/>
  <c r="C360" i="8"/>
  <c r="A359" i="8"/>
  <c r="I353" i="8"/>
  <c r="H353" i="8"/>
  <c r="F353" i="8"/>
  <c r="F352" i="8"/>
  <c r="F351" i="8"/>
  <c r="F350" i="8"/>
  <c r="J349" i="8"/>
  <c r="I349" i="8"/>
  <c r="H349" i="8"/>
  <c r="G349" i="8"/>
  <c r="J348" i="8"/>
  <c r="I348" i="8"/>
  <c r="H348" i="8"/>
  <c r="G348" i="8"/>
  <c r="J347" i="8"/>
  <c r="I347" i="8"/>
  <c r="H347" i="8"/>
  <c r="G347" i="8"/>
  <c r="E345" i="8"/>
  <c r="D345" i="8"/>
  <c r="C345" i="8"/>
  <c r="I343" i="8"/>
  <c r="H343" i="8"/>
  <c r="F343" i="8"/>
  <c r="F342" i="8"/>
  <c r="F341" i="8"/>
  <c r="J340" i="8"/>
  <c r="I340" i="8"/>
  <c r="H340" i="8"/>
  <c r="G340" i="8"/>
  <c r="J339" i="8"/>
  <c r="I339" i="8"/>
  <c r="H339" i="8"/>
  <c r="G339" i="8"/>
  <c r="F338" i="8"/>
  <c r="E338" i="8"/>
  <c r="D338" i="8"/>
  <c r="C338" i="8"/>
  <c r="I336" i="8"/>
  <c r="H336" i="8"/>
  <c r="F336" i="8"/>
  <c r="F335" i="8"/>
  <c r="F334" i="8"/>
  <c r="F333" i="8"/>
  <c r="J332" i="8"/>
  <c r="I332" i="8"/>
  <c r="H332" i="8"/>
  <c r="G332" i="8"/>
  <c r="J331" i="8"/>
  <c r="I331" i="8"/>
  <c r="H331" i="8"/>
  <c r="G331" i="8"/>
  <c r="J330" i="8"/>
  <c r="I330" i="8"/>
  <c r="H330" i="8"/>
  <c r="G330" i="8"/>
  <c r="J329" i="8"/>
  <c r="I329" i="8"/>
  <c r="H329" i="8"/>
  <c r="G329" i="8"/>
  <c r="E327" i="8"/>
  <c r="D327" i="8"/>
  <c r="C327" i="8"/>
  <c r="I325" i="8"/>
  <c r="H325" i="8"/>
  <c r="F325" i="8"/>
  <c r="F324" i="8"/>
  <c r="F323" i="8"/>
  <c r="F322" i="8"/>
  <c r="J321" i="8"/>
  <c r="I321" i="8"/>
  <c r="H321" i="8"/>
  <c r="G321" i="8"/>
  <c r="J320" i="8"/>
  <c r="I320" i="8"/>
  <c r="H320" i="8"/>
  <c r="G320" i="8"/>
  <c r="J319" i="8"/>
  <c r="I319" i="8"/>
  <c r="H319" i="8"/>
  <c r="G319" i="8"/>
  <c r="J318" i="8"/>
  <c r="I318" i="8"/>
  <c r="H318" i="8"/>
  <c r="G318" i="8"/>
  <c r="E316" i="8"/>
  <c r="D316" i="8"/>
  <c r="C316" i="8"/>
  <c r="A315" i="8"/>
  <c r="I309" i="8"/>
  <c r="H309" i="8"/>
  <c r="F309" i="8"/>
  <c r="F308" i="8"/>
  <c r="F307" i="8"/>
  <c r="J306" i="8"/>
  <c r="I306" i="8"/>
  <c r="H306" i="8"/>
  <c r="G306" i="8"/>
  <c r="E304" i="8"/>
  <c r="D304" i="8"/>
  <c r="C304" i="8"/>
  <c r="I302" i="8"/>
  <c r="H302" i="8"/>
  <c r="F302" i="8"/>
  <c r="F301" i="8"/>
  <c r="F300" i="8"/>
  <c r="J299" i="8"/>
  <c r="I299" i="8"/>
  <c r="H299" i="8"/>
  <c r="G299" i="8"/>
  <c r="J298" i="8"/>
  <c r="I298" i="8"/>
  <c r="H298" i="8"/>
  <c r="G298" i="8"/>
  <c r="E296" i="8"/>
  <c r="D296" i="8"/>
  <c r="C296" i="8"/>
  <c r="I294" i="8"/>
  <c r="H294" i="8"/>
  <c r="F294" i="8"/>
  <c r="F293" i="8"/>
  <c r="F292" i="8"/>
  <c r="J291" i="8"/>
  <c r="I291" i="8"/>
  <c r="H291" i="8"/>
  <c r="G291" i="8"/>
  <c r="E289" i="8"/>
  <c r="D289" i="8"/>
  <c r="C289" i="8"/>
  <c r="I287" i="8"/>
  <c r="H287" i="8"/>
  <c r="F287" i="8"/>
  <c r="F286" i="8"/>
  <c r="F285" i="8"/>
  <c r="F284" i="8"/>
  <c r="J283" i="8"/>
  <c r="I283" i="8"/>
  <c r="H283" i="8"/>
  <c r="G283" i="8"/>
  <c r="J282" i="8"/>
  <c r="I282" i="8"/>
  <c r="H282" i="8"/>
  <c r="G282" i="8"/>
  <c r="J281" i="8"/>
  <c r="I281" i="8"/>
  <c r="H281" i="8"/>
  <c r="G281" i="8"/>
  <c r="E279" i="8"/>
  <c r="D279" i="8"/>
  <c r="C279" i="8"/>
  <c r="I277" i="8"/>
  <c r="H277" i="8"/>
  <c r="F277" i="8"/>
  <c r="F276" i="8"/>
  <c r="F275" i="8"/>
  <c r="F274" i="8"/>
  <c r="J273" i="8"/>
  <c r="I273" i="8"/>
  <c r="H273" i="8"/>
  <c r="G273" i="8"/>
  <c r="J272" i="8"/>
  <c r="I272" i="8"/>
  <c r="H272" i="8"/>
  <c r="G272" i="8"/>
  <c r="J271" i="8"/>
  <c r="I271" i="8"/>
  <c r="H271" i="8"/>
  <c r="G271" i="8"/>
  <c r="J270" i="8"/>
  <c r="I270" i="8"/>
  <c r="H270" i="8"/>
  <c r="G270" i="8"/>
  <c r="E268" i="8"/>
  <c r="D268" i="8"/>
  <c r="C268" i="8"/>
  <c r="I266" i="8"/>
  <c r="H266" i="8"/>
  <c r="F266" i="8"/>
  <c r="F265" i="8"/>
  <c r="F264" i="8"/>
  <c r="F263" i="8"/>
  <c r="J262" i="8"/>
  <c r="I262" i="8"/>
  <c r="H262" i="8"/>
  <c r="G262" i="8"/>
  <c r="J261" i="8"/>
  <c r="I261" i="8"/>
  <c r="H261" i="8"/>
  <c r="G261" i="8"/>
  <c r="J260" i="8"/>
  <c r="I260" i="8"/>
  <c r="H260" i="8"/>
  <c r="G260" i="8"/>
  <c r="J259" i="8"/>
  <c r="I259" i="8"/>
  <c r="H259" i="8"/>
  <c r="G259" i="8"/>
  <c r="E257" i="8"/>
  <c r="D257" i="8"/>
  <c r="C257" i="8"/>
  <c r="A256" i="8"/>
  <c r="A254" i="8"/>
  <c r="I245" i="8"/>
  <c r="H245" i="8"/>
  <c r="F245" i="8"/>
  <c r="F244" i="8"/>
  <c r="F243" i="8"/>
  <c r="J242" i="8"/>
  <c r="I242" i="8"/>
  <c r="H242" i="8"/>
  <c r="G242" i="8"/>
  <c r="J241" i="8"/>
  <c r="I241" i="8"/>
  <c r="H241" i="8"/>
  <c r="G241" i="8"/>
  <c r="E239" i="8"/>
  <c r="D239" i="8"/>
  <c r="C239" i="8"/>
  <c r="I237" i="8"/>
  <c r="H237" i="8"/>
  <c r="F237" i="8"/>
  <c r="F236" i="8"/>
  <c r="F235" i="8"/>
  <c r="J234" i="8"/>
  <c r="I234" i="8"/>
  <c r="H234" i="8"/>
  <c r="G234" i="8"/>
  <c r="J233" i="8"/>
  <c r="I233" i="8"/>
  <c r="H233" i="8"/>
  <c r="G233" i="8"/>
  <c r="E231" i="8"/>
  <c r="D231" i="8"/>
  <c r="C231" i="8"/>
  <c r="I229" i="8"/>
  <c r="H229" i="8"/>
  <c r="F229" i="8"/>
  <c r="F228" i="8"/>
  <c r="F227" i="8"/>
  <c r="J226" i="8"/>
  <c r="I226" i="8"/>
  <c r="H226" i="8"/>
  <c r="G226" i="8"/>
  <c r="J225" i="8"/>
  <c r="I225" i="8"/>
  <c r="H225" i="8"/>
  <c r="G225" i="8"/>
  <c r="E223" i="8"/>
  <c r="D223" i="8"/>
  <c r="C223" i="8"/>
  <c r="I221" i="8"/>
  <c r="H221" i="8"/>
  <c r="F221" i="8"/>
  <c r="F220" i="8"/>
  <c r="F219" i="8"/>
  <c r="F218" i="8"/>
  <c r="J217" i="8"/>
  <c r="I217" i="8"/>
  <c r="H217" i="8"/>
  <c r="G217" i="8"/>
  <c r="J216" i="8"/>
  <c r="I216" i="8"/>
  <c r="H216" i="8"/>
  <c r="G216" i="8"/>
  <c r="J215" i="8"/>
  <c r="I215" i="8"/>
  <c r="H215" i="8"/>
  <c r="G215" i="8"/>
  <c r="J214" i="8"/>
  <c r="I214" i="8"/>
  <c r="H214" i="8"/>
  <c r="G214" i="8"/>
  <c r="E212" i="8"/>
  <c r="D212" i="8"/>
  <c r="C212" i="8"/>
  <c r="I210" i="8"/>
  <c r="H210" i="8"/>
  <c r="F210" i="8"/>
  <c r="F209" i="8"/>
  <c r="F208" i="8"/>
  <c r="J207" i="8"/>
  <c r="I207" i="8"/>
  <c r="H207" i="8"/>
  <c r="G207" i="8"/>
  <c r="E205" i="8"/>
  <c r="D205" i="8"/>
  <c r="C205" i="8"/>
  <c r="I203" i="8"/>
  <c r="H203" i="8"/>
  <c r="F203" i="8"/>
  <c r="F202" i="8"/>
  <c r="F201" i="8"/>
  <c r="J200" i="8"/>
  <c r="I200" i="8"/>
  <c r="H200" i="8"/>
  <c r="G200" i="8"/>
  <c r="J199" i="8"/>
  <c r="I199" i="8"/>
  <c r="H199" i="8"/>
  <c r="G199" i="8"/>
  <c r="E198" i="8"/>
  <c r="D198" i="8"/>
  <c r="C198" i="8"/>
  <c r="I196" i="8"/>
  <c r="H196" i="8"/>
  <c r="F196" i="8"/>
  <c r="F195" i="8"/>
  <c r="F194" i="8"/>
  <c r="J193" i="8"/>
  <c r="I193" i="8"/>
  <c r="H193" i="8"/>
  <c r="G193" i="8"/>
  <c r="J192" i="8"/>
  <c r="I192" i="8"/>
  <c r="H192" i="8"/>
  <c r="G192" i="8"/>
  <c r="E190" i="8"/>
  <c r="I188" i="8"/>
  <c r="H188" i="8"/>
  <c r="F188" i="8"/>
  <c r="F187" i="8"/>
  <c r="F186" i="8"/>
  <c r="J185" i="8"/>
  <c r="I185" i="8"/>
  <c r="H185" i="8"/>
  <c r="G185" i="8"/>
  <c r="J184" i="8"/>
  <c r="I184" i="8"/>
  <c r="H184" i="8"/>
  <c r="G184" i="8"/>
  <c r="E182" i="8"/>
  <c r="I180" i="8"/>
  <c r="H180" i="8"/>
  <c r="F180" i="8"/>
  <c r="F179" i="8"/>
  <c r="F178" i="8"/>
  <c r="J177" i="8"/>
  <c r="I177" i="8"/>
  <c r="H177" i="8"/>
  <c r="G177" i="8"/>
  <c r="J176" i="8"/>
  <c r="I176" i="8"/>
  <c r="H176" i="8"/>
  <c r="G176" i="8"/>
  <c r="E175" i="8"/>
  <c r="I173" i="8"/>
  <c r="H173" i="8"/>
  <c r="F173" i="8"/>
  <c r="F172" i="8"/>
  <c r="F171" i="8"/>
  <c r="J170" i="8"/>
  <c r="I170" i="8"/>
  <c r="H170" i="8"/>
  <c r="G170" i="8"/>
  <c r="J169" i="8"/>
  <c r="I169" i="8"/>
  <c r="H169" i="8"/>
  <c r="G169" i="8"/>
  <c r="E167" i="8"/>
  <c r="D167" i="8"/>
  <c r="C167" i="8"/>
  <c r="I165" i="8"/>
  <c r="H165" i="8"/>
  <c r="F165" i="8"/>
  <c r="F164" i="8"/>
  <c r="F163" i="8"/>
  <c r="J162" i="8"/>
  <c r="I162" i="8"/>
  <c r="H162" i="8"/>
  <c r="G162" i="8"/>
  <c r="J161" i="8"/>
  <c r="I161" i="8"/>
  <c r="H161" i="8"/>
  <c r="G161" i="8"/>
  <c r="J160" i="8"/>
  <c r="I160" i="8"/>
  <c r="H160" i="8"/>
  <c r="G160" i="8"/>
  <c r="E158" i="8"/>
  <c r="D158" i="8"/>
  <c r="C158" i="8"/>
  <c r="I156" i="8"/>
  <c r="H156" i="8"/>
  <c r="F156" i="8"/>
  <c r="F155" i="8"/>
  <c r="F154" i="8"/>
  <c r="J153" i="8"/>
  <c r="I153" i="8"/>
  <c r="H153" i="8"/>
  <c r="G153" i="8"/>
  <c r="J152" i="8"/>
  <c r="I152" i="8"/>
  <c r="H152" i="8"/>
  <c r="G152" i="8"/>
  <c r="E151" i="8"/>
  <c r="D151" i="8"/>
  <c r="C151" i="8"/>
  <c r="A150" i="8"/>
  <c r="I144" i="8"/>
  <c r="H144" i="8"/>
  <c r="F144" i="8"/>
  <c r="F143" i="8"/>
  <c r="F142" i="8"/>
  <c r="J141" i="8"/>
  <c r="I141" i="8"/>
  <c r="H141" i="8"/>
  <c r="G141" i="8"/>
  <c r="J140" i="8"/>
  <c r="I140" i="8"/>
  <c r="H140" i="8"/>
  <c r="G140" i="8"/>
  <c r="E139" i="8"/>
  <c r="D139" i="8"/>
  <c r="C139" i="8"/>
  <c r="I137" i="8"/>
  <c r="H137" i="8"/>
  <c r="F137" i="8"/>
  <c r="F136" i="8"/>
  <c r="F135" i="8"/>
  <c r="F134" i="8"/>
  <c r="J133" i="8"/>
  <c r="I133" i="8"/>
  <c r="H133" i="8"/>
  <c r="G133" i="8"/>
  <c r="J132" i="8"/>
  <c r="I132" i="8"/>
  <c r="H132" i="8"/>
  <c r="G132" i="8"/>
  <c r="J131" i="8"/>
  <c r="I131" i="8"/>
  <c r="H131" i="8"/>
  <c r="G131" i="8"/>
  <c r="J130" i="8"/>
  <c r="I130" i="8"/>
  <c r="H130" i="8"/>
  <c r="G130" i="8"/>
  <c r="E129" i="8"/>
  <c r="D129" i="8"/>
  <c r="C129" i="8"/>
  <c r="I127" i="8"/>
  <c r="H127" i="8"/>
  <c r="F127" i="8"/>
  <c r="F126" i="8"/>
  <c r="F125" i="8"/>
  <c r="F124" i="8"/>
  <c r="J123" i="8"/>
  <c r="I123" i="8"/>
  <c r="H123" i="8"/>
  <c r="G123" i="8"/>
  <c r="J122" i="8"/>
  <c r="I122" i="8"/>
  <c r="H122" i="8"/>
  <c r="G122" i="8"/>
  <c r="J121" i="8"/>
  <c r="I121" i="8"/>
  <c r="H121" i="8"/>
  <c r="G121" i="8"/>
  <c r="J120" i="8"/>
  <c r="I120" i="8"/>
  <c r="H120" i="8"/>
  <c r="G120" i="8"/>
  <c r="E119" i="8"/>
  <c r="D119" i="8"/>
  <c r="C119" i="8"/>
  <c r="A118" i="8"/>
  <c r="I112" i="8"/>
  <c r="H112" i="8"/>
  <c r="F112" i="8"/>
  <c r="F111" i="8"/>
  <c r="F110" i="8"/>
  <c r="J109" i="8"/>
  <c r="I109" i="8"/>
  <c r="H109" i="8"/>
  <c r="G109" i="8"/>
  <c r="E107" i="8"/>
  <c r="D107" i="8"/>
  <c r="C107" i="8"/>
  <c r="I105" i="8"/>
  <c r="H105" i="8"/>
  <c r="F105" i="8"/>
  <c r="F104" i="8"/>
  <c r="F103" i="8"/>
  <c r="F102" i="8"/>
  <c r="J101" i="8"/>
  <c r="I101" i="8"/>
  <c r="H101" i="8"/>
  <c r="G101" i="8"/>
  <c r="J100" i="8"/>
  <c r="I100" i="8"/>
  <c r="H100" i="8"/>
  <c r="G100" i="8"/>
  <c r="J99" i="8"/>
  <c r="I99" i="8"/>
  <c r="H99" i="8"/>
  <c r="G99" i="8"/>
  <c r="E97" i="8"/>
  <c r="D97" i="8"/>
  <c r="C97" i="8"/>
  <c r="I95" i="8"/>
  <c r="H95" i="8"/>
  <c r="F95" i="8"/>
  <c r="F94" i="8"/>
  <c r="F93" i="8"/>
  <c r="J92" i="8"/>
  <c r="I92" i="8"/>
  <c r="H92" i="8"/>
  <c r="G92" i="8"/>
  <c r="E90" i="8"/>
  <c r="D90" i="8"/>
  <c r="C90" i="8"/>
  <c r="I88" i="8"/>
  <c r="H88" i="8"/>
  <c r="F88" i="8"/>
  <c r="F87" i="8"/>
  <c r="F86" i="8"/>
  <c r="J85" i="8"/>
  <c r="I85" i="8"/>
  <c r="H85" i="8"/>
  <c r="G85" i="8"/>
  <c r="J84" i="8"/>
  <c r="I84" i="8"/>
  <c r="H84" i="8"/>
  <c r="G84" i="8"/>
  <c r="E82" i="8"/>
  <c r="D82" i="8"/>
  <c r="C82" i="8"/>
  <c r="I80" i="8"/>
  <c r="H80" i="8"/>
  <c r="F80" i="8"/>
  <c r="F79" i="8"/>
  <c r="F78" i="8"/>
  <c r="J77" i="8"/>
  <c r="I77" i="8"/>
  <c r="H77" i="8"/>
  <c r="G77" i="8"/>
  <c r="E75" i="8"/>
  <c r="D75" i="8"/>
  <c r="C75" i="8"/>
  <c r="I73" i="8"/>
  <c r="H73" i="8"/>
  <c r="F73" i="8"/>
  <c r="F72" i="8"/>
  <c r="F71" i="8"/>
  <c r="F70" i="8"/>
  <c r="J69" i="8"/>
  <c r="I69" i="8"/>
  <c r="H69" i="8"/>
  <c r="G69" i="8"/>
  <c r="J68" i="8"/>
  <c r="I68" i="8"/>
  <c r="H68" i="8"/>
  <c r="G68" i="8"/>
  <c r="J67" i="8"/>
  <c r="I67" i="8"/>
  <c r="H67" i="8"/>
  <c r="G67" i="8"/>
  <c r="E65" i="8"/>
  <c r="D65" i="8"/>
  <c r="C65" i="8"/>
  <c r="I63" i="8"/>
  <c r="H63" i="8"/>
  <c r="F63" i="8"/>
  <c r="F62" i="8"/>
  <c r="F61" i="8"/>
  <c r="F60" i="8"/>
  <c r="J59" i="8"/>
  <c r="I59" i="8"/>
  <c r="H59" i="8"/>
  <c r="G59" i="8"/>
  <c r="J58" i="8"/>
  <c r="I58" i="8"/>
  <c r="H58" i="8"/>
  <c r="G58" i="8"/>
  <c r="J57" i="8"/>
  <c r="I57" i="8"/>
  <c r="H57" i="8"/>
  <c r="G57" i="8"/>
  <c r="J56" i="8"/>
  <c r="I56" i="8"/>
  <c r="H56" i="8"/>
  <c r="G56" i="8"/>
  <c r="E54" i="8"/>
  <c r="D54" i="8"/>
  <c r="C54" i="8"/>
  <c r="I52" i="8"/>
  <c r="H52" i="8"/>
  <c r="F52" i="8"/>
  <c r="F51" i="8"/>
  <c r="F50" i="8"/>
  <c r="F49" i="8"/>
  <c r="J48" i="8"/>
  <c r="I48" i="8"/>
  <c r="H48" i="8"/>
  <c r="G48" i="8"/>
  <c r="J47" i="8"/>
  <c r="I47" i="8"/>
  <c r="H47" i="8"/>
  <c r="G47" i="8"/>
  <c r="J46" i="8"/>
  <c r="I46" i="8"/>
  <c r="H46" i="8"/>
  <c r="G46" i="8"/>
  <c r="J45" i="8"/>
  <c r="I45" i="8"/>
  <c r="H45" i="8"/>
  <c r="G45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883" i="7"/>
  <c r="H880" i="7"/>
  <c r="C883" i="7"/>
  <c r="C880" i="7"/>
  <c r="H862" i="7"/>
  <c r="G862" i="7"/>
  <c r="E862" i="7"/>
  <c r="E861" i="7"/>
  <c r="E860" i="7"/>
  <c r="I859" i="7"/>
  <c r="H859" i="7"/>
  <c r="G859" i="7"/>
  <c r="F859" i="7"/>
  <c r="I858" i="7"/>
  <c r="H858" i="7"/>
  <c r="G858" i="7"/>
  <c r="F858" i="7"/>
  <c r="D856" i="7"/>
  <c r="C856" i="7"/>
  <c r="B856" i="7"/>
  <c r="H854" i="7"/>
  <c r="G854" i="7"/>
  <c r="E854" i="7"/>
  <c r="E853" i="7"/>
  <c r="E852" i="7"/>
  <c r="I851" i="7"/>
  <c r="H851" i="7"/>
  <c r="G851" i="7"/>
  <c r="F851" i="7"/>
  <c r="I850" i="7"/>
  <c r="H850" i="7"/>
  <c r="G850" i="7"/>
  <c r="F850" i="7"/>
  <c r="D848" i="7"/>
  <c r="C848" i="7"/>
  <c r="B848" i="7"/>
  <c r="H846" i="7"/>
  <c r="G846" i="7"/>
  <c r="E846" i="7"/>
  <c r="E845" i="7"/>
  <c r="E844" i="7"/>
  <c r="I843" i="7"/>
  <c r="H843" i="7"/>
  <c r="G843" i="7"/>
  <c r="F843" i="7"/>
  <c r="I842" i="7"/>
  <c r="H842" i="7"/>
  <c r="G842" i="7"/>
  <c r="F842" i="7"/>
  <c r="D840" i="7"/>
  <c r="C840" i="7"/>
  <c r="B840" i="7"/>
  <c r="H838" i="7"/>
  <c r="G838" i="7"/>
  <c r="E838" i="7"/>
  <c r="E837" i="7"/>
  <c r="E836" i="7"/>
  <c r="I835" i="7"/>
  <c r="H835" i="7"/>
  <c r="G835" i="7"/>
  <c r="F835" i="7"/>
  <c r="I834" i="7"/>
  <c r="H834" i="7"/>
  <c r="G834" i="7"/>
  <c r="F834" i="7"/>
  <c r="D832" i="7"/>
  <c r="C832" i="7"/>
  <c r="B832" i="7"/>
  <c r="H830" i="7"/>
  <c r="G830" i="7"/>
  <c r="E830" i="7"/>
  <c r="E829" i="7"/>
  <c r="E828" i="7"/>
  <c r="E827" i="7"/>
  <c r="I826" i="7"/>
  <c r="H826" i="7"/>
  <c r="G826" i="7"/>
  <c r="F826" i="7"/>
  <c r="I825" i="7"/>
  <c r="H825" i="7"/>
  <c r="G825" i="7"/>
  <c r="F825" i="7"/>
  <c r="I824" i="7"/>
  <c r="H824" i="7"/>
  <c r="G824" i="7"/>
  <c r="F824" i="7"/>
  <c r="I823" i="7"/>
  <c r="H823" i="7"/>
  <c r="G823" i="7"/>
  <c r="F823" i="7"/>
  <c r="D821" i="7"/>
  <c r="C821" i="7"/>
  <c r="B821" i="7"/>
  <c r="H819" i="7"/>
  <c r="G819" i="7"/>
  <c r="E819" i="7"/>
  <c r="E818" i="7"/>
  <c r="E817" i="7"/>
  <c r="I816" i="7"/>
  <c r="H816" i="7"/>
  <c r="G816" i="7"/>
  <c r="F816" i="7"/>
  <c r="D814" i="7"/>
  <c r="C814" i="7"/>
  <c r="B814" i="7"/>
  <c r="H812" i="7"/>
  <c r="G812" i="7"/>
  <c r="E812" i="7"/>
  <c r="E811" i="7"/>
  <c r="E810" i="7"/>
  <c r="I809" i="7"/>
  <c r="H809" i="7"/>
  <c r="G809" i="7"/>
  <c r="F809" i="7"/>
  <c r="I808" i="7"/>
  <c r="H808" i="7"/>
  <c r="G808" i="7"/>
  <c r="F808" i="7"/>
  <c r="D806" i="7"/>
  <c r="H804" i="7"/>
  <c r="G804" i="7"/>
  <c r="E804" i="7"/>
  <c r="E803" i="7"/>
  <c r="E802" i="7"/>
  <c r="I801" i="7"/>
  <c r="H801" i="7"/>
  <c r="G801" i="7"/>
  <c r="F801" i="7"/>
  <c r="I800" i="7"/>
  <c r="H800" i="7"/>
  <c r="G800" i="7"/>
  <c r="F800" i="7"/>
  <c r="D798" i="7"/>
  <c r="H796" i="7"/>
  <c r="G796" i="7"/>
  <c r="E796" i="7"/>
  <c r="E795" i="7"/>
  <c r="E794" i="7"/>
  <c r="I793" i="7"/>
  <c r="H793" i="7"/>
  <c r="G793" i="7"/>
  <c r="F793" i="7"/>
  <c r="I792" i="7"/>
  <c r="H792" i="7"/>
  <c r="G792" i="7"/>
  <c r="F792" i="7"/>
  <c r="I791" i="7"/>
  <c r="H791" i="7"/>
  <c r="G791" i="7"/>
  <c r="F791" i="7"/>
  <c r="D789" i="7"/>
  <c r="C789" i="7"/>
  <c r="B789" i="7"/>
  <c r="H787" i="7"/>
  <c r="G787" i="7"/>
  <c r="E787" i="7"/>
  <c r="E786" i="7"/>
  <c r="E785" i="7"/>
  <c r="I784" i="7"/>
  <c r="H784" i="7"/>
  <c r="G784" i="7"/>
  <c r="F784" i="7"/>
  <c r="I783" i="7"/>
  <c r="H783" i="7"/>
  <c r="G783" i="7"/>
  <c r="F783" i="7"/>
  <c r="E782" i="7"/>
  <c r="D782" i="7"/>
  <c r="C782" i="7"/>
  <c r="B782" i="7"/>
  <c r="A781" i="7"/>
  <c r="H775" i="7"/>
  <c r="G775" i="7"/>
  <c r="E775" i="7"/>
  <c r="E774" i="7"/>
  <c r="E773" i="7"/>
  <c r="E772" i="7"/>
  <c r="I771" i="7"/>
  <c r="H771" i="7"/>
  <c r="G771" i="7"/>
  <c r="F771" i="7"/>
  <c r="I770" i="7"/>
  <c r="H770" i="7"/>
  <c r="G770" i="7"/>
  <c r="F770" i="7"/>
  <c r="I769" i="7"/>
  <c r="H769" i="7"/>
  <c r="G769" i="7"/>
  <c r="F769" i="7"/>
  <c r="I768" i="7"/>
  <c r="H768" i="7"/>
  <c r="G768" i="7"/>
  <c r="F768" i="7"/>
  <c r="E767" i="7"/>
  <c r="D767" i="7"/>
  <c r="C767" i="7"/>
  <c r="B767" i="7"/>
  <c r="H765" i="7"/>
  <c r="G765" i="7"/>
  <c r="E765" i="7"/>
  <c r="E764" i="7"/>
  <c r="E763" i="7"/>
  <c r="E762" i="7"/>
  <c r="I761" i="7"/>
  <c r="H761" i="7"/>
  <c r="G761" i="7"/>
  <c r="F761" i="7"/>
  <c r="I760" i="7"/>
  <c r="H760" i="7"/>
  <c r="G760" i="7"/>
  <c r="F760" i="7"/>
  <c r="I759" i="7"/>
  <c r="H759" i="7"/>
  <c r="G759" i="7"/>
  <c r="F759" i="7"/>
  <c r="I758" i="7"/>
  <c r="H758" i="7"/>
  <c r="G758" i="7"/>
  <c r="F758" i="7"/>
  <c r="E757" i="7"/>
  <c r="D757" i="7"/>
  <c r="C757" i="7"/>
  <c r="B757" i="7"/>
  <c r="A756" i="7"/>
  <c r="H750" i="7"/>
  <c r="G750" i="7"/>
  <c r="E750" i="7"/>
  <c r="E749" i="7"/>
  <c r="E748" i="7"/>
  <c r="E747" i="7"/>
  <c r="I746" i="7"/>
  <c r="H746" i="7"/>
  <c r="G746" i="7"/>
  <c r="F746" i="7"/>
  <c r="I745" i="7"/>
  <c r="H745" i="7"/>
  <c r="G745" i="7"/>
  <c r="F745" i="7"/>
  <c r="I744" i="7"/>
  <c r="H744" i="7"/>
  <c r="G744" i="7"/>
  <c r="F744" i="7"/>
  <c r="E743" i="7"/>
  <c r="D743" i="7"/>
  <c r="C743" i="7"/>
  <c r="B743" i="7"/>
  <c r="H741" i="7"/>
  <c r="G741" i="7"/>
  <c r="E741" i="7"/>
  <c r="E740" i="7"/>
  <c r="E739" i="7"/>
  <c r="I738" i="7"/>
  <c r="H738" i="7"/>
  <c r="G738" i="7"/>
  <c r="F738" i="7"/>
  <c r="D736" i="7"/>
  <c r="C736" i="7"/>
  <c r="B736" i="7"/>
  <c r="H734" i="7"/>
  <c r="G734" i="7"/>
  <c r="E734" i="7"/>
  <c r="E733" i="7"/>
  <c r="E732" i="7"/>
  <c r="I731" i="7"/>
  <c r="H731" i="7"/>
  <c r="G731" i="7"/>
  <c r="F731" i="7"/>
  <c r="I730" i="7"/>
  <c r="H730" i="7"/>
  <c r="G730" i="7"/>
  <c r="F730" i="7"/>
  <c r="D728" i="7"/>
  <c r="C728" i="7"/>
  <c r="B728" i="7"/>
  <c r="H726" i="7"/>
  <c r="G726" i="7"/>
  <c r="E726" i="7"/>
  <c r="E725" i="7"/>
  <c r="E724" i="7"/>
  <c r="I723" i="7"/>
  <c r="H723" i="7"/>
  <c r="G723" i="7"/>
  <c r="F723" i="7"/>
  <c r="D721" i="7"/>
  <c r="C721" i="7"/>
  <c r="B721" i="7"/>
  <c r="H719" i="7"/>
  <c r="G719" i="7"/>
  <c r="E719" i="7"/>
  <c r="E718" i="7"/>
  <c r="E717" i="7"/>
  <c r="E716" i="7"/>
  <c r="I715" i="7"/>
  <c r="H715" i="7"/>
  <c r="G715" i="7"/>
  <c r="F715" i="7"/>
  <c r="I714" i="7"/>
  <c r="H714" i="7"/>
  <c r="G714" i="7"/>
  <c r="F714" i="7"/>
  <c r="I713" i="7"/>
  <c r="H713" i="7"/>
  <c r="G713" i="7"/>
  <c r="F713" i="7"/>
  <c r="E712" i="7"/>
  <c r="D712" i="7"/>
  <c r="C712" i="7"/>
  <c r="B712" i="7"/>
  <c r="H710" i="7"/>
  <c r="G710" i="7"/>
  <c r="E710" i="7"/>
  <c r="E709" i="7"/>
  <c r="E708" i="7"/>
  <c r="E707" i="7"/>
  <c r="I706" i="7"/>
  <c r="H706" i="7"/>
  <c r="G706" i="7"/>
  <c r="F706" i="7"/>
  <c r="I705" i="7"/>
  <c r="H705" i="7"/>
  <c r="G705" i="7"/>
  <c r="F705" i="7"/>
  <c r="I704" i="7"/>
  <c r="H704" i="7"/>
  <c r="G704" i="7"/>
  <c r="F704" i="7"/>
  <c r="I703" i="7"/>
  <c r="H703" i="7"/>
  <c r="G703" i="7"/>
  <c r="F703" i="7"/>
  <c r="D701" i="7"/>
  <c r="C701" i="7"/>
  <c r="B701" i="7"/>
  <c r="H699" i="7"/>
  <c r="G699" i="7"/>
  <c r="E699" i="7"/>
  <c r="E698" i="7"/>
  <c r="E697" i="7"/>
  <c r="E696" i="7"/>
  <c r="I695" i="7"/>
  <c r="H695" i="7"/>
  <c r="G695" i="7"/>
  <c r="F695" i="7"/>
  <c r="I694" i="7"/>
  <c r="H694" i="7"/>
  <c r="G694" i="7"/>
  <c r="F694" i="7"/>
  <c r="I693" i="7"/>
  <c r="H693" i="7"/>
  <c r="G693" i="7"/>
  <c r="F693" i="7"/>
  <c r="I692" i="7"/>
  <c r="H692" i="7"/>
  <c r="G692" i="7"/>
  <c r="F692" i="7"/>
  <c r="D690" i="7"/>
  <c r="C690" i="7"/>
  <c r="B690" i="7"/>
  <c r="H688" i="7"/>
  <c r="G688" i="7"/>
  <c r="E688" i="7"/>
  <c r="E687" i="7"/>
  <c r="E686" i="7"/>
  <c r="E685" i="7"/>
  <c r="I684" i="7"/>
  <c r="H684" i="7"/>
  <c r="G684" i="7"/>
  <c r="F684" i="7"/>
  <c r="I683" i="7"/>
  <c r="H683" i="7"/>
  <c r="G683" i="7"/>
  <c r="F683" i="7"/>
  <c r="I682" i="7"/>
  <c r="H682" i="7"/>
  <c r="G682" i="7"/>
  <c r="F682" i="7"/>
  <c r="I681" i="7"/>
  <c r="H681" i="7"/>
  <c r="G681" i="7"/>
  <c r="F681" i="7"/>
  <c r="E680" i="7"/>
  <c r="D680" i="7"/>
  <c r="C680" i="7"/>
  <c r="B680" i="7"/>
  <c r="H678" i="7"/>
  <c r="G678" i="7"/>
  <c r="E678" i="7"/>
  <c r="E677" i="7"/>
  <c r="E676" i="7"/>
  <c r="E675" i="7"/>
  <c r="I674" i="7"/>
  <c r="H674" i="7"/>
  <c r="G674" i="7"/>
  <c r="F674" i="7"/>
  <c r="I673" i="7"/>
  <c r="H673" i="7"/>
  <c r="G673" i="7"/>
  <c r="F673" i="7"/>
  <c r="I672" i="7"/>
  <c r="H672" i="7"/>
  <c r="G672" i="7"/>
  <c r="F672" i="7"/>
  <c r="I671" i="7"/>
  <c r="H671" i="7"/>
  <c r="G671" i="7"/>
  <c r="F671" i="7"/>
  <c r="E670" i="7"/>
  <c r="D670" i="7"/>
  <c r="C670" i="7"/>
  <c r="B670" i="7"/>
  <c r="A669" i="7"/>
  <c r="A667" i="7"/>
  <c r="H658" i="7"/>
  <c r="G658" i="7"/>
  <c r="E658" i="7"/>
  <c r="E657" i="7"/>
  <c r="E656" i="7"/>
  <c r="I655" i="7"/>
  <c r="H655" i="7"/>
  <c r="G655" i="7"/>
  <c r="F655" i="7"/>
  <c r="I654" i="7"/>
  <c r="H654" i="7"/>
  <c r="G654" i="7"/>
  <c r="F654" i="7"/>
  <c r="D652" i="7"/>
  <c r="C652" i="7"/>
  <c r="B652" i="7"/>
  <c r="H650" i="7"/>
  <c r="G650" i="7"/>
  <c r="E650" i="7"/>
  <c r="E649" i="7"/>
  <c r="E648" i="7"/>
  <c r="I647" i="7"/>
  <c r="H647" i="7"/>
  <c r="G647" i="7"/>
  <c r="F647" i="7"/>
  <c r="I646" i="7"/>
  <c r="H646" i="7"/>
  <c r="G646" i="7"/>
  <c r="F646" i="7"/>
  <c r="D644" i="7"/>
  <c r="C644" i="7"/>
  <c r="B644" i="7"/>
  <c r="H642" i="7"/>
  <c r="G642" i="7"/>
  <c r="E642" i="7"/>
  <c r="E641" i="7"/>
  <c r="E640" i="7"/>
  <c r="I639" i="7"/>
  <c r="H639" i="7"/>
  <c r="G639" i="7"/>
  <c r="F639" i="7"/>
  <c r="I638" i="7"/>
  <c r="H638" i="7"/>
  <c r="G638" i="7"/>
  <c r="F638" i="7"/>
  <c r="D636" i="7"/>
  <c r="C636" i="7"/>
  <c r="B636" i="7"/>
  <c r="H634" i="7"/>
  <c r="G634" i="7"/>
  <c r="E634" i="7"/>
  <c r="E633" i="7"/>
  <c r="E632" i="7"/>
  <c r="E631" i="7"/>
  <c r="I630" i="7"/>
  <c r="H630" i="7"/>
  <c r="G630" i="7"/>
  <c r="F630" i="7"/>
  <c r="I629" i="7"/>
  <c r="H629" i="7"/>
  <c r="G629" i="7"/>
  <c r="F629" i="7"/>
  <c r="I628" i="7"/>
  <c r="H628" i="7"/>
  <c r="G628" i="7"/>
  <c r="F628" i="7"/>
  <c r="I627" i="7"/>
  <c r="H627" i="7"/>
  <c r="G627" i="7"/>
  <c r="F627" i="7"/>
  <c r="D625" i="7"/>
  <c r="C625" i="7"/>
  <c r="B625" i="7"/>
  <c r="H623" i="7"/>
  <c r="G623" i="7"/>
  <c r="E623" i="7"/>
  <c r="E622" i="7"/>
  <c r="E621" i="7"/>
  <c r="I620" i="7"/>
  <c r="H620" i="7"/>
  <c r="G620" i="7"/>
  <c r="F620" i="7"/>
  <c r="D618" i="7"/>
  <c r="C618" i="7"/>
  <c r="B618" i="7"/>
  <c r="H616" i="7"/>
  <c r="G616" i="7"/>
  <c r="E616" i="7"/>
  <c r="E615" i="7"/>
  <c r="E614" i="7"/>
  <c r="I613" i="7"/>
  <c r="H613" i="7"/>
  <c r="G613" i="7"/>
  <c r="F613" i="7"/>
  <c r="I612" i="7"/>
  <c r="H612" i="7"/>
  <c r="G612" i="7"/>
  <c r="F612" i="7"/>
  <c r="D610" i="7"/>
  <c r="C610" i="7"/>
  <c r="B610" i="7"/>
  <c r="H608" i="7"/>
  <c r="G608" i="7"/>
  <c r="E608" i="7"/>
  <c r="E607" i="7"/>
  <c r="E606" i="7"/>
  <c r="I605" i="7"/>
  <c r="H605" i="7"/>
  <c r="G605" i="7"/>
  <c r="F605" i="7"/>
  <c r="I604" i="7"/>
  <c r="H604" i="7"/>
  <c r="G604" i="7"/>
  <c r="F604" i="7"/>
  <c r="D602" i="7"/>
  <c r="H600" i="7"/>
  <c r="G600" i="7"/>
  <c r="E600" i="7"/>
  <c r="E599" i="7"/>
  <c r="E598" i="7"/>
  <c r="I597" i="7"/>
  <c r="H597" i="7"/>
  <c r="G597" i="7"/>
  <c r="F597" i="7"/>
  <c r="I596" i="7"/>
  <c r="H596" i="7"/>
  <c r="G596" i="7"/>
  <c r="F596" i="7"/>
  <c r="D594" i="7"/>
  <c r="H592" i="7"/>
  <c r="G592" i="7"/>
  <c r="E592" i="7"/>
  <c r="E591" i="7"/>
  <c r="E590" i="7"/>
  <c r="I589" i="7"/>
  <c r="H589" i="7"/>
  <c r="G589" i="7"/>
  <c r="F589" i="7"/>
  <c r="I588" i="7"/>
  <c r="H588" i="7"/>
  <c r="G588" i="7"/>
  <c r="F588" i="7"/>
  <c r="I587" i="7"/>
  <c r="H587" i="7"/>
  <c r="G587" i="7"/>
  <c r="F587" i="7"/>
  <c r="D585" i="7"/>
  <c r="C585" i="7"/>
  <c r="B585" i="7"/>
  <c r="H583" i="7"/>
  <c r="G583" i="7"/>
  <c r="E583" i="7"/>
  <c r="E582" i="7"/>
  <c r="E581" i="7"/>
  <c r="I580" i="7"/>
  <c r="H580" i="7"/>
  <c r="G580" i="7"/>
  <c r="F580" i="7"/>
  <c r="I579" i="7"/>
  <c r="H579" i="7"/>
  <c r="G579" i="7"/>
  <c r="F579" i="7"/>
  <c r="E578" i="7"/>
  <c r="D578" i="7"/>
  <c r="C578" i="7"/>
  <c r="B578" i="7"/>
  <c r="A577" i="7"/>
  <c r="H571" i="7"/>
  <c r="G571" i="7"/>
  <c r="E571" i="7"/>
  <c r="E570" i="7"/>
  <c r="E569" i="7"/>
  <c r="I568" i="7"/>
  <c r="H568" i="7"/>
  <c r="G568" i="7"/>
  <c r="F568" i="7"/>
  <c r="I567" i="7"/>
  <c r="H567" i="7"/>
  <c r="G567" i="7"/>
  <c r="F567" i="7"/>
  <c r="E566" i="7"/>
  <c r="D566" i="7"/>
  <c r="C566" i="7"/>
  <c r="B566" i="7"/>
  <c r="H564" i="7"/>
  <c r="G564" i="7"/>
  <c r="E564" i="7"/>
  <c r="E563" i="7"/>
  <c r="E562" i="7"/>
  <c r="E561" i="7"/>
  <c r="I560" i="7"/>
  <c r="H560" i="7"/>
  <c r="G560" i="7"/>
  <c r="F560" i="7"/>
  <c r="I559" i="7"/>
  <c r="H559" i="7"/>
  <c r="G559" i="7"/>
  <c r="F559" i="7"/>
  <c r="I558" i="7"/>
  <c r="H558" i="7"/>
  <c r="G558" i="7"/>
  <c r="F558" i="7"/>
  <c r="D556" i="7"/>
  <c r="C556" i="7"/>
  <c r="B556" i="7"/>
  <c r="H554" i="7"/>
  <c r="G554" i="7"/>
  <c r="E554" i="7"/>
  <c r="E553" i="7"/>
  <c r="E552" i="7"/>
  <c r="I551" i="7"/>
  <c r="H551" i="7"/>
  <c r="G551" i="7"/>
  <c r="F551" i="7"/>
  <c r="I550" i="7"/>
  <c r="H550" i="7"/>
  <c r="G550" i="7"/>
  <c r="F550" i="7"/>
  <c r="E549" i="7"/>
  <c r="D549" i="7"/>
  <c r="C549" i="7"/>
  <c r="B549" i="7"/>
  <c r="H547" i="7"/>
  <c r="G547" i="7"/>
  <c r="E547" i="7"/>
  <c r="E546" i="7"/>
  <c r="E545" i="7"/>
  <c r="E544" i="7"/>
  <c r="I543" i="7"/>
  <c r="H543" i="7"/>
  <c r="G543" i="7"/>
  <c r="F543" i="7"/>
  <c r="I542" i="7"/>
  <c r="H542" i="7"/>
  <c r="G542" i="7"/>
  <c r="F542" i="7"/>
  <c r="I541" i="7"/>
  <c r="H541" i="7"/>
  <c r="G541" i="7"/>
  <c r="F541" i="7"/>
  <c r="I540" i="7"/>
  <c r="H540" i="7"/>
  <c r="G540" i="7"/>
  <c r="F540" i="7"/>
  <c r="D538" i="7"/>
  <c r="C538" i="7"/>
  <c r="B538" i="7"/>
  <c r="H536" i="7"/>
  <c r="G536" i="7"/>
  <c r="E536" i="7"/>
  <c r="E535" i="7"/>
  <c r="E534" i="7"/>
  <c r="E533" i="7"/>
  <c r="I532" i="7"/>
  <c r="H532" i="7"/>
  <c r="G532" i="7"/>
  <c r="F532" i="7"/>
  <c r="I531" i="7"/>
  <c r="H531" i="7"/>
  <c r="G531" i="7"/>
  <c r="F531" i="7"/>
  <c r="I530" i="7"/>
  <c r="H530" i="7"/>
  <c r="G530" i="7"/>
  <c r="F530" i="7"/>
  <c r="I529" i="7"/>
  <c r="H529" i="7"/>
  <c r="G529" i="7"/>
  <c r="F529" i="7"/>
  <c r="D527" i="7"/>
  <c r="C527" i="7"/>
  <c r="B527" i="7"/>
  <c r="A526" i="7"/>
  <c r="H520" i="7"/>
  <c r="G520" i="7"/>
  <c r="E520" i="7"/>
  <c r="E519" i="7"/>
  <c r="E518" i="7"/>
  <c r="I517" i="7"/>
  <c r="H517" i="7"/>
  <c r="G517" i="7"/>
  <c r="F517" i="7"/>
  <c r="D515" i="7"/>
  <c r="C515" i="7"/>
  <c r="B515" i="7"/>
  <c r="H513" i="7"/>
  <c r="G513" i="7"/>
  <c r="E513" i="7"/>
  <c r="E512" i="7"/>
  <c r="E511" i="7"/>
  <c r="I510" i="7"/>
  <c r="H510" i="7"/>
  <c r="G510" i="7"/>
  <c r="F510" i="7"/>
  <c r="I509" i="7"/>
  <c r="H509" i="7"/>
  <c r="G509" i="7"/>
  <c r="F509" i="7"/>
  <c r="D507" i="7"/>
  <c r="C507" i="7"/>
  <c r="B507" i="7"/>
  <c r="H505" i="7"/>
  <c r="G505" i="7"/>
  <c r="E505" i="7"/>
  <c r="E504" i="7"/>
  <c r="E503" i="7"/>
  <c r="I502" i="7"/>
  <c r="H502" i="7"/>
  <c r="G502" i="7"/>
  <c r="F502" i="7"/>
  <c r="D500" i="7"/>
  <c r="C500" i="7"/>
  <c r="B500" i="7"/>
  <c r="H498" i="7"/>
  <c r="G498" i="7"/>
  <c r="E498" i="7"/>
  <c r="E497" i="7"/>
  <c r="E496" i="7"/>
  <c r="E495" i="7"/>
  <c r="I494" i="7"/>
  <c r="H494" i="7"/>
  <c r="G494" i="7"/>
  <c r="F494" i="7"/>
  <c r="I493" i="7"/>
  <c r="H493" i="7"/>
  <c r="G493" i="7"/>
  <c r="F493" i="7"/>
  <c r="I492" i="7"/>
  <c r="H492" i="7"/>
  <c r="G492" i="7"/>
  <c r="F492" i="7"/>
  <c r="D490" i="7"/>
  <c r="C490" i="7"/>
  <c r="B490" i="7"/>
  <c r="H488" i="7"/>
  <c r="G488" i="7"/>
  <c r="E488" i="7"/>
  <c r="E487" i="7"/>
  <c r="E486" i="7"/>
  <c r="E485" i="7"/>
  <c r="I484" i="7"/>
  <c r="H484" i="7"/>
  <c r="G484" i="7"/>
  <c r="F484" i="7"/>
  <c r="I483" i="7"/>
  <c r="H483" i="7"/>
  <c r="G483" i="7"/>
  <c r="F483" i="7"/>
  <c r="I482" i="7"/>
  <c r="H482" i="7"/>
  <c r="G482" i="7"/>
  <c r="F482" i="7"/>
  <c r="I481" i="7"/>
  <c r="H481" i="7"/>
  <c r="G481" i="7"/>
  <c r="F481" i="7"/>
  <c r="D479" i="7"/>
  <c r="C479" i="7"/>
  <c r="B479" i="7"/>
  <c r="H477" i="7"/>
  <c r="G477" i="7"/>
  <c r="E477" i="7"/>
  <c r="E476" i="7"/>
  <c r="E475" i="7"/>
  <c r="E474" i="7"/>
  <c r="I473" i="7"/>
  <c r="H473" i="7"/>
  <c r="G473" i="7"/>
  <c r="F473" i="7"/>
  <c r="I472" i="7"/>
  <c r="H472" i="7"/>
  <c r="G472" i="7"/>
  <c r="F472" i="7"/>
  <c r="I471" i="7"/>
  <c r="H471" i="7"/>
  <c r="G471" i="7"/>
  <c r="F471" i="7"/>
  <c r="I470" i="7"/>
  <c r="H470" i="7"/>
  <c r="G470" i="7"/>
  <c r="F470" i="7"/>
  <c r="D468" i="7"/>
  <c r="C468" i="7"/>
  <c r="B468" i="7"/>
  <c r="A467" i="7"/>
  <c r="A465" i="7"/>
  <c r="H456" i="7"/>
  <c r="G456" i="7"/>
  <c r="E456" i="7"/>
  <c r="E455" i="7"/>
  <c r="E454" i="7"/>
  <c r="I453" i="7"/>
  <c r="H453" i="7"/>
  <c r="G453" i="7"/>
  <c r="F453" i="7"/>
  <c r="I452" i="7"/>
  <c r="H452" i="7"/>
  <c r="G452" i="7"/>
  <c r="F452" i="7"/>
  <c r="D450" i="7"/>
  <c r="C450" i="7"/>
  <c r="B450" i="7"/>
  <c r="H448" i="7"/>
  <c r="G448" i="7"/>
  <c r="E448" i="7"/>
  <c r="E447" i="7"/>
  <c r="E446" i="7"/>
  <c r="I445" i="7"/>
  <c r="H445" i="7"/>
  <c r="G445" i="7"/>
  <c r="F445" i="7"/>
  <c r="I444" i="7"/>
  <c r="H444" i="7"/>
  <c r="G444" i="7"/>
  <c r="F444" i="7"/>
  <c r="D442" i="7"/>
  <c r="C442" i="7"/>
  <c r="B442" i="7"/>
  <c r="H440" i="7"/>
  <c r="G440" i="7"/>
  <c r="E440" i="7"/>
  <c r="E439" i="7"/>
  <c r="E438" i="7"/>
  <c r="I437" i="7"/>
  <c r="H437" i="7"/>
  <c r="G437" i="7"/>
  <c r="F437" i="7"/>
  <c r="I436" i="7"/>
  <c r="H436" i="7"/>
  <c r="G436" i="7"/>
  <c r="F436" i="7"/>
  <c r="D434" i="7"/>
  <c r="C434" i="7"/>
  <c r="B434" i="7"/>
  <c r="H432" i="7"/>
  <c r="G432" i="7"/>
  <c r="E432" i="7"/>
  <c r="E431" i="7"/>
  <c r="E430" i="7"/>
  <c r="E429" i="7"/>
  <c r="I428" i="7"/>
  <c r="H428" i="7"/>
  <c r="G428" i="7"/>
  <c r="F428" i="7"/>
  <c r="I427" i="7"/>
  <c r="H427" i="7"/>
  <c r="G427" i="7"/>
  <c r="F427" i="7"/>
  <c r="I426" i="7"/>
  <c r="H426" i="7"/>
  <c r="G426" i="7"/>
  <c r="F426" i="7"/>
  <c r="I425" i="7"/>
  <c r="H425" i="7"/>
  <c r="G425" i="7"/>
  <c r="F425" i="7"/>
  <c r="D423" i="7"/>
  <c r="C423" i="7"/>
  <c r="B423" i="7"/>
  <c r="H421" i="7"/>
  <c r="G421" i="7"/>
  <c r="E421" i="7"/>
  <c r="E420" i="7"/>
  <c r="E419" i="7"/>
  <c r="I418" i="7"/>
  <c r="H418" i="7"/>
  <c r="G418" i="7"/>
  <c r="F418" i="7"/>
  <c r="D416" i="7"/>
  <c r="C416" i="7"/>
  <c r="B416" i="7"/>
  <c r="H414" i="7"/>
  <c r="G414" i="7"/>
  <c r="E414" i="7"/>
  <c r="E413" i="7"/>
  <c r="E412" i="7"/>
  <c r="I411" i="7"/>
  <c r="H411" i="7"/>
  <c r="G411" i="7"/>
  <c r="F411" i="7"/>
  <c r="I410" i="7"/>
  <c r="H410" i="7"/>
  <c r="G410" i="7"/>
  <c r="F410" i="7"/>
  <c r="D408" i="7"/>
  <c r="C408" i="7"/>
  <c r="B408" i="7"/>
  <c r="H406" i="7"/>
  <c r="G406" i="7"/>
  <c r="E406" i="7"/>
  <c r="E405" i="7"/>
  <c r="E404" i="7"/>
  <c r="I403" i="7"/>
  <c r="H403" i="7"/>
  <c r="G403" i="7"/>
  <c r="F403" i="7"/>
  <c r="I402" i="7"/>
  <c r="H402" i="7"/>
  <c r="G402" i="7"/>
  <c r="F402" i="7"/>
  <c r="D400" i="7"/>
  <c r="H398" i="7"/>
  <c r="G398" i="7"/>
  <c r="E398" i="7"/>
  <c r="E397" i="7"/>
  <c r="E396" i="7"/>
  <c r="I395" i="7"/>
  <c r="H395" i="7"/>
  <c r="G395" i="7"/>
  <c r="F395" i="7"/>
  <c r="I394" i="7"/>
  <c r="H394" i="7"/>
  <c r="G394" i="7"/>
  <c r="F394" i="7"/>
  <c r="D392" i="7"/>
  <c r="H390" i="7"/>
  <c r="G390" i="7"/>
  <c r="E390" i="7"/>
  <c r="E389" i="7"/>
  <c r="E388" i="7"/>
  <c r="E387" i="7"/>
  <c r="I386" i="7"/>
  <c r="H386" i="7"/>
  <c r="G386" i="7"/>
  <c r="F386" i="7"/>
  <c r="I385" i="7"/>
  <c r="H385" i="7"/>
  <c r="G385" i="7"/>
  <c r="F385" i="7"/>
  <c r="I384" i="7"/>
  <c r="H384" i="7"/>
  <c r="G384" i="7"/>
  <c r="F384" i="7"/>
  <c r="I383" i="7"/>
  <c r="H383" i="7"/>
  <c r="G383" i="7"/>
  <c r="F383" i="7"/>
  <c r="D381" i="7"/>
  <c r="C381" i="7"/>
  <c r="B381" i="7"/>
  <c r="H379" i="7"/>
  <c r="G379" i="7"/>
  <c r="E379" i="7"/>
  <c r="E378" i="7"/>
  <c r="E377" i="7"/>
  <c r="E376" i="7"/>
  <c r="I375" i="7"/>
  <c r="H375" i="7"/>
  <c r="G375" i="7"/>
  <c r="F375" i="7"/>
  <c r="I374" i="7"/>
  <c r="H374" i="7"/>
  <c r="G374" i="7"/>
  <c r="F374" i="7"/>
  <c r="I373" i="7"/>
  <c r="H373" i="7"/>
  <c r="G373" i="7"/>
  <c r="F373" i="7"/>
  <c r="I372" i="7"/>
  <c r="H372" i="7"/>
  <c r="G372" i="7"/>
  <c r="F372" i="7"/>
  <c r="D370" i="7"/>
  <c r="C370" i="7"/>
  <c r="B370" i="7"/>
  <c r="H368" i="7"/>
  <c r="G368" i="7"/>
  <c r="E368" i="7"/>
  <c r="E367" i="7"/>
  <c r="E366" i="7"/>
  <c r="I365" i="7"/>
  <c r="H365" i="7"/>
  <c r="G365" i="7"/>
  <c r="F365" i="7"/>
  <c r="I364" i="7"/>
  <c r="H364" i="7"/>
  <c r="G364" i="7"/>
  <c r="F364" i="7"/>
  <c r="I363" i="7"/>
  <c r="H363" i="7"/>
  <c r="G363" i="7"/>
  <c r="F363" i="7"/>
  <c r="D361" i="7"/>
  <c r="C361" i="7"/>
  <c r="B361" i="7"/>
  <c r="H359" i="7"/>
  <c r="G359" i="7"/>
  <c r="E359" i="7"/>
  <c r="E358" i="7"/>
  <c r="E357" i="7"/>
  <c r="I356" i="7"/>
  <c r="H356" i="7"/>
  <c r="G356" i="7"/>
  <c r="F356" i="7"/>
  <c r="I355" i="7"/>
  <c r="H355" i="7"/>
  <c r="G355" i="7"/>
  <c r="F355" i="7"/>
  <c r="E354" i="7"/>
  <c r="D354" i="7"/>
  <c r="C354" i="7"/>
  <c r="B354" i="7"/>
  <c r="A353" i="7"/>
  <c r="H347" i="7"/>
  <c r="G347" i="7"/>
  <c r="E347" i="7"/>
  <c r="E346" i="7"/>
  <c r="E345" i="7"/>
  <c r="E344" i="7"/>
  <c r="I343" i="7"/>
  <c r="H343" i="7"/>
  <c r="G343" i="7"/>
  <c r="F343" i="7"/>
  <c r="I342" i="7"/>
  <c r="H342" i="7"/>
  <c r="G342" i="7"/>
  <c r="F342" i="7"/>
  <c r="I341" i="7"/>
  <c r="H341" i="7"/>
  <c r="G341" i="7"/>
  <c r="F341" i="7"/>
  <c r="D339" i="7"/>
  <c r="C339" i="7"/>
  <c r="B339" i="7"/>
  <c r="H337" i="7"/>
  <c r="G337" i="7"/>
  <c r="E337" i="7"/>
  <c r="E336" i="7"/>
  <c r="E335" i="7"/>
  <c r="I334" i="7"/>
  <c r="H334" i="7"/>
  <c r="G334" i="7"/>
  <c r="F334" i="7"/>
  <c r="I333" i="7"/>
  <c r="H333" i="7"/>
  <c r="G333" i="7"/>
  <c r="F333" i="7"/>
  <c r="E332" i="7"/>
  <c r="D332" i="7"/>
  <c r="C332" i="7"/>
  <c r="B332" i="7"/>
  <c r="H330" i="7"/>
  <c r="G330" i="7"/>
  <c r="E330" i="7"/>
  <c r="E329" i="7"/>
  <c r="E328" i="7"/>
  <c r="E327" i="7"/>
  <c r="I326" i="7"/>
  <c r="H326" i="7"/>
  <c r="G326" i="7"/>
  <c r="F326" i="7"/>
  <c r="I325" i="7"/>
  <c r="H325" i="7"/>
  <c r="G325" i="7"/>
  <c r="F325" i="7"/>
  <c r="I324" i="7"/>
  <c r="H324" i="7"/>
  <c r="G324" i="7"/>
  <c r="F324" i="7"/>
  <c r="I323" i="7"/>
  <c r="H323" i="7"/>
  <c r="G323" i="7"/>
  <c r="F323" i="7"/>
  <c r="D321" i="7"/>
  <c r="C321" i="7"/>
  <c r="B321" i="7"/>
  <c r="H319" i="7"/>
  <c r="G319" i="7"/>
  <c r="E319" i="7"/>
  <c r="E318" i="7"/>
  <c r="E317" i="7"/>
  <c r="E316" i="7"/>
  <c r="I315" i="7"/>
  <c r="H315" i="7"/>
  <c r="G315" i="7"/>
  <c r="F315" i="7"/>
  <c r="I314" i="7"/>
  <c r="H314" i="7"/>
  <c r="G314" i="7"/>
  <c r="F314" i="7"/>
  <c r="I313" i="7"/>
  <c r="H313" i="7"/>
  <c r="G313" i="7"/>
  <c r="F313" i="7"/>
  <c r="I312" i="7"/>
  <c r="H312" i="7"/>
  <c r="G312" i="7"/>
  <c r="F312" i="7"/>
  <c r="D310" i="7"/>
  <c r="C310" i="7"/>
  <c r="B310" i="7"/>
  <c r="A309" i="7"/>
  <c r="H303" i="7"/>
  <c r="G303" i="7"/>
  <c r="E303" i="7"/>
  <c r="E302" i="7"/>
  <c r="E301" i="7"/>
  <c r="I300" i="7"/>
  <c r="H300" i="7"/>
  <c r="G300" i="7"/>
  <c r="F300" i="7"/>
  <c r="D298" i="7"/>
  <c r="C298" i="7"/>
  <c r="B298" i="7"/>
  <c r="H296" i="7"/>
  <c r="G296" i="7"/>
  <c r="E296" i="7"/>
  <c r="E295" i="7"/>
  <c r="E294" i="7"/>
  <c r="I293" i="7"/>
  <c r="H293" i="7"/>
  <c r="G293" i="7"/>
  <c r="F293" i="7"/>
  <c r="I292" i="7"/>
  <c r="H292" i="7"/>
  <c r="G292" i="7"/>
  <c r="F292" i="7"/>
  <c r="D290" i="7"/>
  <c r="C290" i="7"/>
  <c r="B290" i="7"/>
  <c r="H288" i="7"/>
  <c r="G288" i="7"/>
  <c r="E288" i="7"/>
  <c r="E287" i="7"/>
  <c r="E286" i="7"/>
  <c r="I285" i="7"/>
  <c r="H285" i="7"/>
  <c r="G285" i="7"/>
  <c r="F285" i="7"/>
  <c r="D283" i="7"/>
  <c r="C283" i="7"/>
  <c r="B283" i="7"/>
  <c r="H281" i="7"/>
  <c r="G281" i="7"/>
  <c r="E281" i="7"/>
  <c r="E280" i="7"/>
  <c r="E279" i="7"/>
  <c r="E278" i="7"/>
  <c r="I277" i="7"/>
  <c r="H277" i="7"/>
  <c r="G277" i="7"/>
  <c r="F277" i="7"/>
  <c r="I276" i="7"/>
  <c r="H276" i="7"/>
  <c r="G276" i="7"/>
  <c r="F276" i="7"/>
  <c r="I275" i="7"/>
  <c r="H275" i="7"/>
  <c r="G275" i="7"/>
  <c r="F275" i="7"/>
  <c r="D273" i="7"/>
  <c r="C273" i="7"/>
  <c r="B273" i="7"/>
  <c r="H271" i="7"/>
  <c r="G271" i="7"/>
  <c r="E271" i="7"/>
  <c r="E270" i="7"/>
  <c r="E269" i="7"/>
  <c r="E268" i="7"/>
  <c r="I267" i="7"/>
  <c r="H267" i="7"/>
  <c r="G267" i="7"/>
  <c r="F267" i="7"/>
  <c r="I266" i="7"/>
  <c r="H266" i="7"/>
  <c r="G266" i="7"/>
  <c r="F266" i="7"/>
  <c r="I265" i="7"/>
  <c r="H265" i="7"/>
  <c r="G265" i="7"/>
  <c r="F265" i="7"/>
  <c r="I264" i="7"/>
  <c r="H264" i="7"/>
  <c r="G264" i="7"/>
  <c r="F264" i="7"/>
  <c r="D262" i="7"/>
  <c r="C262" i="7"/>
  <c r="B262" i="7"/>
  <c r="H260" i="7"/>
  <c r="G260" i="7"/>
  <c r="E260" i="7"/>
  <c r="E259" i="7"/>
  <c r="E258" i="7"/>
  <c r="E257" i="7"/>
  <c r="I256" i="7"/>
  <c r="H256" i="7"/>
  <c r="G256" i="7"/>
  <c r="F256" i="7"/>
  <c r="I255" i="7"/>
  <c r="H255" i="7"/>
  <c r="G255" i="7"/>
  <c r="F255" i="7"/>
  <c r="I254" i="7"/>
  <c r="H254" i="7"/>
  <c r="G254" i="7"/>
  <c r="F254" i="7"/>
  <c r="I253" i="7"/>
  <c r="H253" i="7"/>
  <c r="G253" i="7"/>
  <c r="F253" i="7"/>
  <c r="D251" i="7"/>
  <c r="C251" i="7"/>
  <c r="B251" i="7"/>
  <c r="A250" i="7"/>
  <c r="A248" i="7"/>
  <c r="H239" i="7"/>
  <c r="G239" i="7"/>
  <c r="E239" i="7"/>
  <c r="E238" i="7"/>
  <c r="E237" i="7"/>
  <c r="I236" i="7"/>
  <c r="H236" i="7"/>
  <c r="G236" i="7"/>
  <c r="F236" i="7"/>
  <c r="I235" i="7"/>
  <c r="H235" i="7"/>
  <c r="G235" i="7"/>
  <c r="F235" i="7"/>
  <c r="D233" i="7"/>
  <c r="C233" i="7"/>
  <c r="B233" i="7"/>
  <c r="H231" i="7"/>
  <c r="G231" i="7"/>
  <c r="E231" i="7"/>
  <c r="E230" i="7"/>
  <c r="E229" i="7"/>
  <c r="I228" i="7"/>
  <c r="H228" i="7"/>
  <c r="G228" i="7"/>
  <c r="F228" i="7"/>
  <c r="I227" i="7"/>
  <c r="H227" i="7"/>
  <c r="G227" i="7"/>
  <c r="F227" i="7"/>
  <c r="D225" i="7"/>
  <c r="C225" i="7"/>
  <c r="B225" i="7"/>
  <c r="H223" i="7"/>
  <c r="G223" i="7"/>
  <c r="E223" i="7"/>
  <c r="E222" i="7"/>
  <c r="E221" i="7"/>
  <c r="I220" i="7"/>
  <c r="H220" i="7"/>
  <c r="G220" i="7"/>
  <c r="F220" i="7"/>
  <c r="I219" i="7"/>
  <c r="H219" i="7"/>
  <c r="G219" i="7"/>
  <c r="F219" i="7"/>
  <c r="D217" i="7"/>
  <c r="C217" i="7"/>
  <c r="B217" i="7"/>
  <c r="H215" i="7"/>
  <c r="G215" i="7"/>
  <c r="E215" i="7"/>
  <c r="E214" i="7"/>
  <c r="E213" i="7"/>
  <c r="E212" i="7"/>
  <c r="I211" i="7"/>
  <c r="H211" i="7"/>
  <c r="G211" i="7"/>
  <c r="F211" i="7"/>
  <c r="I210" i="7"/>
  <c r="H210" i="7"/>
  <c r="G210" i="7"/>
  <c r="F210" i="7"/>
  <c r="I209" i="7"/>
  <c r="H209" i="7"/>
  <c r="G209" i="7"/>
  <c r="F209" i="7"/>
  <c r="I208" i="7"/>
  <c r="H208" i="7"/>
  <c r="G208" i="7"/>
  <c r="F208" i="7"/>
  <c r="D206" i="7"/>
  <c r="C206" i="7"/>
  <c r="B206" i="7"/>
  <c r="H204" i="7"/>
  <c r="G204" i="7"/>
  <c r="E204" i="7"/>
  <c r="E203" i="7"/>
  <c r="E202" i="7"/>
  <c r="I201" i="7"/>
  <c r="H201" i="7"/>
  <c r="G201" i="7"/>
  <c r="F201" i="7"/>
  <c r="D199" i="7"/>
  <c r="C199" i="7"/>
  <c r="B199" i="7"/>
  <c r="H197" i="7"/>
  <c r="G197" i="7"/>
  <c r="E197" i="7"/>
  <c r="E196" i="7"/>
  <c r="E195" i="7"/>
  <c r="I194" i="7"/>
  <c r="H194" i="7"/>
  <c r="G194" i="7"/>
  <c r="F194" i="7"/>
  <c r="I193" i="7"/>
  <c r="H193" i="7"/>
  <c r="G193" i="7"/>
  <c r="F193" i="7"/>
  <c r="D192" i="7"/>
  <c r="C192" i="7"/>
  <c r="B192" i="7"/>
  <c r="H190" i="7"/>
  <c r="G190" i="7"/>
  <c r="E190" i="7"/>
  <c r="E189" i="7"/>
  <c r="E188" i="7"/>
  <c r="I187" i="7"/>
  <c r="H187" i="7"/>
  <c r="G187" i="7"/>
  <c r="F187" i="7"/>
  <c r="I186" i="7"/>
  <c r="H186" i="7"/>
  <c r="G186" i="7"/>
  <c r="F186" i="7"/>
  <c r="D184" i="7"/>
  <c r="H182" i="7"/>
  <c r="G182" i="7"/>
  <c r="E182" i="7"/>
  <c r="E181" i="7"/>
  <c r="E180" i="7"/>
  <c r="I179" i="7"/>
  <c r="H179" i="7"/>
  <c r="G179" i="7"/>
  <c r="F179" i="7"/>
  <c r="I178" i="7"/>
  <c r="H178" i="7"/>
  <c r="G178" i="7"/>
  <c r="F178" i="7"/>
  <c r="D176" i="7"/>
  <c r="H174" i="7"/>
  <c r="G174" i="7"/>
  <c r="E174" i="7"/>
  <c r="E173" i="7"/>
  <c r="E172" i="7"/>
  <c r="I171" i="7"/>
  <c r="H171" i="7"/>
  <c r="G171" i="7"/>
  <c r="F171" i="7"/>
  <c r="I170" i="7"/>
  <c r="H170" i="7"/>
  <c r="G170" i="7"/>
  <c r="F170" i="7"/>
  <c r="D169" i="7"/>
  <c r="H167" i="7"/>
  <c r="G167" i="7"/>
  <c r="E167" i="7"/>
  <c r="E166" i="7"/>
  <c r="E165" i="7"/>
  <c r="I164" i="7"/>
  <c r="H164" i="7"/>
  <c r="G164" i="7"/>
  <c r="F164" i="7"/>
  <c r="I163" i="7"/>
  <c r="H163" i="7"/>
  <c r="G163" i="7"/>
  <c r="F163" i="7"/>
  <c r="D161" i="7"/>
  <c r="C161" i="7"/>
  <c r="B161" i="7"/>
  <c r="H159" i="7"/>
  <c r="G159" i="7"/>
  <c r="E159" i="7"/>
  <c r="E158" i="7"/>
  <c r="E157" i="7"/>
  <c r="I156" i="7"/>
  <c r="H156" i="7"/>
  <c r="G156" i="7"/>
  <c r="F156" i="7"/>
  <c r="I155" i="7"/>
  <c r="H155" i="7"/>
  <c r="G155" i="7"/>
  <c r="F155" i="7"/>
  <c r="I154" i="7"/>
  <c r="H154" i="7"/>
  <c r="G154" i="7"/>
  <c r="F154" i="7"/>
  <c r="D152" i="7"/>
  <c r="C152" i="7"/>
  <c r="B152" i="7"/>
  <c r="H150" i="7"/>
  <c r="G150" i="7"/>
  <c r="E150" i="7"/>
  <c r="E149" i="7"/>
  <c r="E148" i="7"/>
  <c r="I147" i="7"/>
  <c r="H147" i="7"/>
  <c r="G147" i="7"/>
  <c r="F147" i="7"/>
  <c r="I146" i="7"/>
  <c r="H146" i="7"/>
  <c r="G146" i="7"/>
  <c r="F146" i="7"/>
  <c r="D145" i="7"/>
  <c r="C145" i="7"/>
  <c r="B145" i="7"/>
  <c r="A144" i="7"/>
  <c r="H138" i="7"/>
  <c r="G138" i="7"/>
  <c r="E138" i="7"/>
  <c r="E137" i="7"/>
  <c r="E136" i="7"/>
  <c r="I135" i="7"/>
  <c r="H135" i="7"/>
  <c r="G135" i="7"/>
  <c r="F135" i="7"/>
  <c r="I134" i="7"/>
  <c r="H134" i="7"/>
  <c r="G134" i="7"/>
  <c r="F134" i="7"/>
  <c r="D133" i="7"/>
  <c r="C133" i="7"/>
  <c r="B133" i="7"/>
  <c r="H131" i="7"/>
  <c r="G131" i="7"/>
  <c r="E131" i="7"/>
  <c r="E130" i="7"/>
  <c r="E129" i="7"/>
  <c r="E128" i="7"/>
  <c r="I127" i="7"/>
  <c r="H127" i="7"/>
  <c r="G127" i="7"/>
  <c r="F127" i="7"/>
  <c r="I126" i="7"/>
  <c r="H126" i="7"/>
  <c r="G126" i="7"/>
  <c r="F126" i="7"/>
  <c r="I125" i="7"/>
  <c r="H125" i="7"/>
  <c r="G125" i="7"/>
  <c r="F125" i="7"/>
  <c r="I124" i="7"/>
  <c r="H124" i="7"/>
  <c r="G124" i="7"/>
  <c r="F124" i="7"/>
  <c r="D123" i="7"/>
  <c r="C123" i="7"/>
  <c r="B123" i="7"/>
  <c r="H121" i="7"/>
  <c r="G121" i="7"/>
  <c r="E121" i="7"/>
  <c r="E120" i="7"/>
  <c r="E119" i="7"/>
  <c r="E118" i="7"/>
  <c r="I117" i="7"/>
  <c r="H117" i="7"/>
  <c r="G117" i="7"/>
  <c r="F117" i="7"/>
  <c r="I116" i="7"/>
  <c r="H116" i="7"/>
  <c r="G116" i="7"/>
  <c r="F116" i="7"/>
  <c r="I115" i="7"/>
  <c r="H115" i="7"/>
  <c r="G115" i="7"/>
  <c r="F115" i="7"/>
  <c r="I114" i="7"/>
  <c r="H114" i="7"/>
  <c r="G114" i="7"/>
  <c r="F114" i="7"/>
  <c r="D113" i="7"/>
  <c r="C113" i="7"/>
  <c r="B113" i="7"/>
  <c r="A112" i="7"/>
  <c r="H106" i="7"/>
  <c r="G106" i="7"/>
  <c r="E106" i="7"/>
  <c r="E105" i="7"/>
  <c r="E104" i="7"/>
  <c r="I103" i="7"/>
  <c r="H103" i="7"/>
  <c r="G103" i="7"/>
  <c r="F103" i="7"/>
  <c r="D101" i="7"/>
  <c r="C101" i="7"/>
  <c r="B101" i="7"/>
  <c r="H99" i="7"/>
  <c r="G99" i="7"/>
  <c r="E99" i="7"/>
  <c r="E98" i="7"/>
  <c r="E97" i="7"/>
  <c r="E96" i="7"/>
  <c r="I95" i="7"/>
  <c r="H95" i="7"/>
  <c r="G95" i="7"/>
  <c r="F95" i="7"/>
  <c r="I94" i="7"/>
  <c r="H94" i="7"/>
  <c r="G94" i="7"/>
  <c r="F94" i="7"/>
  <c r="I93" i="7"/>
  <c r="H93" i="7"/>
  <c r="G93" i="7"/>
  <c r="F93" i="7"/>
  <c r="D91" i="7"/>
  <c r="C91" i="7"/>
  <c r="B91" i="7"/>
  <c r="H89" i="7"/>
  <c r="G89" i="7"/>
  <c r="E89" i="7"/>
  <c r="E88" i="7"/>
  <c r="E87" i="7"/>
  <c r="I86" i="7"/>
  <c r="H86" i="7"/>
  <c r="G86" i="7"/>
  <c r="F86" i="7"/>
  <c r="D84" i="7"/>
  <c r="C84" i="7"/>
  <c r="B84" i="7"/>
  <c r="H82" i="7"/>
  <c r="G82" i="7"/>
  <c r="E82" i="7"/>
  <c r="E81" i="7"/>
  <c r="E80" i="7"/>
  <c r="I79" i="7"/>
  <c r="H79" i="7"/>
  <c r="G79" i="7"/>
  <c r="F79" i="7"/>
  <c r="I78" i="7"/>
  <c r="H78" i="7"/>
  <c r="G78" i="7"/>
  <c r="F78" i="7"/>
  <c r="D76" i="7"/>
  <c r="C76" i="7"/>
  <c r="B76" i="7"/>
  <c r="H74" i="7"/>
  <c r="G74" i="7"/>
  <c r="E74" i="7"/>
  <c r="E73" i="7"/>
  <c r="E72" i="7"/>
  <c r="I71" i="7"/>
  <c r="H71" i="7"/>
  <c r="G71" i="7"/>
  <c r="F71" i="7"/>
  <c r="D69" i="7"/>
  <c r="C69" i="7"/>
  <c r="B69" i="7"/>
  <c r="H67" i="7"/>
  <c r="G67" i="7"/>
  <c r="E67" i="7"/>
  <c r="E66" i="7"/>
  <c r="E65" i="7"/>
  <c r="E64" i="7"/>
  <c r="I63" i="7"/>
  <c r="H63" i="7"/>
  <c r="G63" i="7"/>
  <c r="F63" i="7"/>
  <c r="I62" i="7"/>
  <c r="H62" i="7"/>
  <c r="G62" i="7"/>
  <c r="F62" i="7"/>
  <c r="I61" i="7"/>
  <c r="H61" i="7"/>
  <c r="G61" i="7"/>
  <c r="F61" i="7"/>
  <c r="D59" i="7"/>
  <c r="C59" i="7"/>
  <c r="B59" i="7"/>
  <c r="H57" i="7"/>
  <c r="G57" i="7"/>
  <c r="E57" i="7"/>
  <c r="E56" i="7"/>
  <c r="E55" i="7"/>
  <c r="E54" i="7"/>
  <c r="I53" i="7"/>
  <c r="H53" i="7"/>
  <c r="G53" i="7"/>
  <c r="F53" i="7"/>
  <c r="I52" i="7"/>
  <c r="H52" i="7"/>
  <c r="G52" i="7"/>
  <c r="F52" i="7"/>
  <c r="I51" i="7"/>
  <c r="H51" i="7"/>
  <c r="G51" i="7"/>
  <c r="F51" i="7"/>
  <c r="I50" i="7"/>
  <c r="H50" i="7"/>
  <c r="G50" i="7"/>
  <c r="F50" i="7"/>
  <c r="D48" i="7"/>
  <c r="C48" i="7"/>
  <c r="B48" i="7"/>
  <c r="H46" i="7"/>
  <c r="G46" i="7"/>
  <c r="E46" i="7"/>
  <c r="E45" i="7"/>
  <c r="E44" i="7"/>
  <c r="E43" i="7"/>
  <c r="I42" i="7"/>
  <c r="H42" i="7"/>
  <c r="G42" i="7"/>
  <c r="F42" i="7"/>
  <c r="I41" i="7"/>
  <c r="H41" i="7"/>
  <c r="G41" i="7"/>
  <c r="F41" i="7"/>
  <c r="I40" i="7"/>
  <c r="H40" i="7"/>
  <c r="G40" i="7"/>
  <c r="F40" i="7"/>
  <c r="I39" i="7"/>
  <c r="H39" i="7"/>
  <c r="G39" i="7"/>
  <c r="F39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I32" i="1"/>
  <c r="K32" i="1"/>
  <c r="AC32" i="1"/>
  <c r="CQ32" i="1" s="1"/>
  <c r="P32" i="1" s="1"/>
  <c r="AE32" i="1"/>
  <c r="CS32" i="1" s="1"/>
  <c r="R32" i="1" s="1"/>
  <c r="GK32" i="1" s="1"/>
  <c r="AF32" i="1"/>
  <c r="CT32" i="1" s="1"/>
  <c r="S32" i="1" s="1"/>
  <c r="AG32" i="1"/>
  <c r="CU32" i="1" s="1"/>
  <c r="T32" i="1" s="1"/>
  <c r="AH32" i="1"/>
  <c r="CV32" i="1" s="1"/>
  <c r="U32" i="1" s="1"/>
  <c r="AI32" i="1"/>
  <c r="AJ32" i="1"/>
  <c r="CX32" i="1" s="1"/>
  <c r="W32" i="1" s="1"/>
  <c r="CR32" i="1"/>
  <c r="Q32" i="1" s="1"/>
  <c r="CW32" i="1"/>
  <c r="V32" i="1" s="1"/>
  <c r="FR32" i="1"/>
  <c r="GL32" i="1"/>
  <c r="GN32" i="1"/>
  <c r="GO32" i="1"/>
  <c r="GV32" i="1"/>
  <c r="HC32" i="1"/>
  <c r="GX32" i="1" s="1"/>
  <c r="D33" i="1"/>
  <c r="I33" i="1"/>
  <c r="K33" i="1"/>
  <c r="AC33" i="1"/>
  <c r="CQ33" i="1" s="1"/>
  <c r="AE33" i="1"/>
  <c r="AD33" i="1" s="1"/>
  <c r="AF33" i="1"/>
  <c r="CT33" i="1" s="1"/>
  <c r="S33" i="1" s="1"/>
  <c r="AG33" i="1"/>
  <c r="CU33" i="1" s="1"/>
  <c r="AH33" i="1"/>
  <c r="CV33" i="1" s="1"/>
  <c r="U33" i="1" s="1"/>
  <c r="AI33" i="1"/>
  <c r="CW33" i="1" s="1"/>
  <c r="V33" i="1" s="1"/>
  <c r="AJ33" i="1"/>
  <c r="CR33" i="1"/>
  <c r="Q33" i="1" s="1"/>
  <c r="CS33" i="1"/>
  <c r="CX33" i="1"/>
  <c r="FR33" i="1"/>
  <c r="GL33" i="1"/>
  <c r="GN33" i="1"/>
  <c r="GO33" i="1"/>
  <c r="GV33" i="1"/>
  <c r="HC33" i="1" s="1"/>
  <c r="GX33" i="1" s="1"/>
  <c r="D34" i="1"/>
  <c r="I34" i="1"/>
  <c r="K34" i="1"/>
  <c r="AC34" i="1"/>
  <c r="AE34" i="1"/>
  <c r="AF34" i="1"/>
  <c r="AG34" i="1"/>
  <c r="CU34" i="1" s="1"/>
  <c r="AH34" i="1"/>
  <c r="CV34" i="1" s="1"/>
  <c r="AI34" i="1"/>
  <c r="CW34" i="1" s="1"/>
  <c r="AJ34" i="1"/>
  <c r="CX34" i="1" s="1"/>
  <c r="CQ34" i="1"/>
  <c r="FR34" i="1"/>
  <c r="GL34" i="1"/>
  <c r="GN34" i="1"/>
  <c r="GO34" i="1"/>
  <c r="GV34" i="1"/>
  <c r="HC34" i="1"/>
  <c r="GX34" i="1" s="1"/>
  <c r="D35" i="1"/>
  <c r="I35" i="1"/>
  <c r="K35" i="1"/>
  <c r="AC35" i="1"/>
  <c r="AE35" i="1"/>
  <c r="AF35" i="1"/>
  <c r="AG35" i="1"/>
  <c r="CU35" i="1" s="1"/>
  <c r="T35" i="1" s="1"/>
  <c r="AH35" i="1"/>
  <c r="CV35" i="1" s="1"/>
  <c r="U35" i="1" s="1"/>
  <c r="AI35" i="1"/>
  <c r="CW35" i="1" s="1"/>
  <c r="V35" i="1" s="1"/>
  <c r="AJ35" i="1"/>
  <c r="CX35" i="1" s="1"/>
  <c r="W35" i="1" s="1"/>
  <c r="FR35" i="1"/>
  <c r="GL35" i="1"/>
  <c r="GN35" i="1"/>
  <c r="GO35" i="1"/>
  <c r="GV35" i="1"/>
  <c r="HC35" i="1" s="1"/>
  <c r="GX35" i="1" s="1"/>
  <c r="D36" i="1"/>
  <c r="I36" i="1"/>
  <c r="K36" i="1"/>
  <c r="AC36" i="1"/>
  <c r="AE36" i="1"/>
  <c r="AD36" i="1" s="1"/>
  <c r="AF36" i="1"/>
  <c r="CT36" i="1" s="1"/>
  <c r="S36" i="1" s="1"/>
  <c r="AG36" i="1"/>
  <c r="CU36" i="1" s="1"/>
  <c r="AH36" i="1"/>
  <c r="CV36" i="1" s="1"/>
  <c r="U36" i="1" s="1"/>
  <c r="AI36" i="1"/>
  <c r="CW36" i="1" s="1"/>
  <c r="AJ36" i="1"/>
  <c r="CX36" i="1" s="1"/>
  <c r="W36" i="1" s="1"/>
  <c r="CR36" i="1"/>
  <c r="Q36" i="1" s="1"/>
  <c r="CS36" i="1"/>
  <c r="R36" i="1" s="1"/>
  <c r="GK36" i="1" s="1"/>
  <c r="FR36" i="1"/>
  <c r="GL36" i="1"/>
  <c r="GN36" i="1"/>
  <c r="GO36" i="1"/>
  <c r="GV36" i="1"/>
  <c r="HC36" i="1"/>
  <c r="D37" i="1"/>
  <c r="I37" i="1"/>
  <c r="K37" i="1"/>
  <c r="AC37" i="1"/>
  <c r="CQ37" i="1" s="1"/>
  <c r="AE37" i="1"/>
  <c r="AF37" i="1"/>
  <c r="AG37" i="1"/>
  <c r="CU37" i="1" s="1"/>
  <c r="AH37" i="1"/>
  <c r="CV37" i="1" s="1"/>
  <c r="AI37" i="1"/>
  <c r="CW37" i="1" s="1"/>
  <c r="V37" i="1" s="1"/>
  <c r="AJ37" i="1"/>
  <c r="CX37" i="1" s="1"/>
  <c r="CR37" i="1"/>
  <c r="Q37" i="1" s="1"/>
  <c r="CS37" i="1"/>
  <c r="FR37" i="1"/>
  <c r="GL37" i="1"/>
  <c r="GN37" i="1"/>
  <c r="GO37" i="1"/>
  <c r="GV37" i="1"/>
  <c r="HC37" i="1" s="1"/>
  <c r="GX37" i="1" s="1"/>
  <c r="D38" i="1"/>
  <c r="I38" i="1"/>
  <c r="K38" i="1"/>
  <c r="AC38" i="1"/>
  <c r="AE38" i="1"/>
  <c r="AF38" i="1"/>
  <c r="CT38" i="1" s="1"/>
  <c r="S38" i="1" s="1"/>
  <c r="AG38" i="1"/>
  <c r="CU38" i="1" s="1"/>
  <c r="AH38" i="1"/>
  <c r="CV38" i="1" s="1"/>
  <c r="U38" i="1" s="1"/>
  <c r="AI38" i="1"/>
  <c r="CW38" i="1" s="1"/>
  <c r="AJ38" i="1"/>
  <c r="CX38" i="1" s="1"/>
  <c r="W38" i="1" s="1"/>
  <c r="CQ38" i="1"/>
  <c r="P38" i="1" s="1"/>
  <c r="CS38" i="1"/>
  <c r="FR38" i="1"/>
  <c r="GL38" i="1"/>
  <c r="GN38" i="1"/>
  <c r="GO38" i="1"/>
  <c r="GV38" i="1"/>
  <c r="HC38" i="1" s="1"/>
  <c r="GX38" i="1" s="1"/>
  <c r="D39" i="1"/>
  <c r="I39" i="1"/>
  <c r="K39" i="1"/>
  <c r="U39" i="1"/>
  <c r="AC39" i="1"/>
  <c r="AE39" i="1"/>
  <c r="AF39" i="1"/>
  <c r="AG39" i="1"/>
  <c r="AH39" i="1"/>
  <c r="CV39" i="1" s="1"/>
  <c r="AI39" i="1"/>
  <c r="CW39" i="1" s="1"/>
  <c r="V39" i="1" s="1"/>
  <c r="AJ39" i="1"/>
  <c r="CX39" i="1" s="1"/>
  <c r="W39" i="1" s="1"/>
  <c r="CS39" i="1"/>
  <c r="CT39" i="1"/>
  <c r="CU39" i="1"/>
  <c r="FR39" i="1"/>
  <c r="GL39" i="1"/>
  <c r="GN39" i="1"/>
  <c r="GO39" i="1"/>
  <c r="GV39" i="1"/>
  <c r="HC39" i="1" s="1"/>
  <c r="GX39" i="1" s="1"/>
  <c r="D40" i="1"/>
  <c r="I40" i="1"/>
  <c r="K40" i="1"/>
  <c r="Q40" i="1"/>
  <c r="AC40" i="1"/>
  <c r="AE40" i="1"/>
  <c r="AD40" i="1" s="1"/>
  <c r="AF40" i="1"/>
  <c r="AG40" i="1"/>
  <c r="CU40" i="1" s="1"/>
  <c r="AH40" i="1"/>
  <c r="CV40" i="1" s="1"/>
  <c r="U40" i="1" s="1"/>
  <c r="AI40" i="1"/>
  <c r="CW40" i="1" s="1"/>
  <c r="V40" i="1" s="1"/>
  <c r="AJ40" i="1"/>
  <c r="CX40" i="1" s="1"/>
  <c r="W40" i="1" s="1"/>
  <c r="CR40" i="1"/>
  <c r="CS40" i="1"/>
  <c r="R40" i="1" s="1"/>
  <c r="GK40" i="1" s="1"/>
  <c r="CT40" i="1"/>
  <c r="S40" i="1" s="1"/>
  <c r="FR40" i="1"/>
  <c r="GL40" i="1"/>
  <c r="GN40" i="1"/>
  <c r="GO40" i="1"/>
  <c r="GV40" i="1"/>
  <c r="HC40" i="1"/>
  <c r="GX40" i="1" s="1"/>
  <c r="D41" i="1"/>
  <c r="I41" i="1"/>
  <c r="K41" i="1"/>
  <c r="AC41" i="1"/>
  <c r="CQ41" i="1" s="1"/>
  <c r="AE41" i="1"/>
  <c r="AF41" i="1"/>
  <c r="CT41" i="1" s="1"/>
  <c r="AG41" i="1"/>
  <c r="CU41" i="1" s="1"/>
  <c r="AH41" i="1"/>
  <c r="CV41" i="1" s="1"/>
  <c r="AI41" i="1"/>
  <c r="AJ41" i="1"/>
  <c r="CW41" i="1"/>
  <c r="CX41" i="1"/>
  <c r="FR41" i="1"/>
  <c r="GL41" i="1"/>
  <c r="GN41" i="1"/>
  <c r="GO41" i="1"/>
  <c r="GV41" i="1"/>
  <c r="HC41" i="1" s="1"/>
  <c r="D42" i="1"/>
  <c r="I42" i="1"/>
  <c r="K42" i="1"/>
  <c r="R42" i="1"/>
  <c r="GK42" i="1" s="1"/>
  <c r="AC42" i="1"/>
  <c r="AE42" i="1"/>
  <c r="AF42" i="1"/>
  <c r="AG42" i="1"/>
  <c r="CU42" i="1" s="1"/>
  <c r="T42" i="1" s="1"/>
  <c r="AH42" i="1"/>
  <c r="AI42" i="1"/>
  <c r="CW42" i="1" s="1"/>
  <c r="V42" i="1" s="1"/>
  <c r="AJ42" i="1"/>
  <c r="CX42" i="1" s="1"/>
  <c r="W42" i="1" s="1"/>
  <c r="CQ42" i="1"/>
  <c r="P42" i="1" s="1"/>
  <c r="CS42" i="1"/>
  <c r="CT42" i="1"/>
  <c r="S42" i="1" s="1"/>
  <c r="CV42" i="1"/>
  <c r="U42" i="1" s="1"/>
  <c r="FR42" i="1"/>
  <c r="GL42" i="1"/>
  <c r="GN42" i="1"/>
  <c r="GO42" i="1"/>
  <c r="GV42" i="1"/>
  <c r="HC42" i="1" s="1"/>
  <c r="GX42" i="1" s="1"/>
  <c r="D43" i="1"/>
  <c r="I43" i="1"/>
  <c r="K43" i="1"/>
  <c r="U43" i="1"/>
  <c r="AC43" i="1"/>
  <c r="AE43" i="1"/>
  <c r="AD43" i="1" s="1"/>
  <c r="AF43" i="1"/>
  <c r="AG43" i="1"/>
  <c r="AH43" i="1"/>
  <c r="CV43" i="1" s="1"/>
  <c r="AI43" i="1"/>
  <c r="AJ43" i="1"/>
  <c r="CR43" i="1"/>
  <c r="CS43" i="1"/>
  <c r="CT43" i="1"/>
  <c r="S43" i="1" s="1"/>
  <c r="CY43" i="1" s="1"/>
  <c r="X43" i="1" s="1"/>
  <c r="CU43" i="1"/>
  <c r="CW43" i="1"/>
  <c r="V43" i="1" s="1"/>
  <c r="CX43" i="1"/>
  <c r="W43" i="1" s="1"/>
  <c r="FR43" i="1"/>
  <c r="GL43" i="1"/>
  <c r="GN43" i="1"/>
  <c r="GO43" i="1"/>
  <c r="GV43" i="1"/>
  <c r="HC43" i="1" s="1"/>
  <c r="GX43" i="1" s="1"/>
  <c r="D44" i="1"/>
  <c r="I44" i="1"/>
  <c r="K44" i="1"/>
  <c r="R44" i="1"/>
  <c r="GK44" i="1" s="1"/>
  <c r="AC44" i="1"/>
  <c r="CQ44" i="1" s="1"/>
  <c r="P44" i="1" s="1"/>
  <c r="AE44" i="1"/>
  <c r="AD44" i="1" s="1"/>
  <c r="AF44" i="1"/>
  <c r="AG44" i="1"/>
  <c r="CU44" i="1" s="1"/>
  <c r="AH44" i="1"/>
  <c r="AI44" i="1"/>
  <c r="CW44" i="1" s="1"/>
  <c r="AJ44" i="1"/>
  <c r="CR44" i="1"/>
  <c r="Q44" i="1" s="1"/>
  <c r="CS44" i="1"/>
  <c r="CT44" i="1"/>
  <c r="S44" i="1" s="1"/>
  <c r="CV44" i="1"/>
  <c r="U44" i="1" s="1"/>
  <c r="CX44" i="1"/>
  <c r="W44" i="1" s="1"/>
  <c r="FR44" i="1"/>
  <c r="GL44" i="1"/>
  <c r="GN44" i="1"/>
  <c r="GO44" i="1"/>
  <c r="GV44" i="1"/>
  <c r="HC44" i="1"/>
  <c r="GX44" i="1" s="1"/>
  <c r="D45" i="1"/>
  <c r="I45" i="1"/>
  <c r="K45" i="1"/>
  <c r="AC45" i="1"/>
  <c r="CQ45" i="1" s="1"/>
  <c r="P45" i="1" s="1"/>
  <c r="AE45" i="1"/>
  <c r="AF45" i="1"/>
  <c r="AG45" i="1"/>
  <c r="CU45" i="1" s="1"/>
  <c r="AH45" i="1"/>
  <c r="CV45" i="1" s="1"/>
  <c r="AI45" i="1"/>
  <c r="CW45" i="1" s="1"/>
  <c r="V45" i="1" s="1"/>
  <c r="AJ45" i="1"/>
  <c r="CS45" i="1"/>
  <c r="CX45" i="1"/>
  <c r="W45" i="1" s="1"/>
  <c r="FR45" i="1"/>
  <c r="GL45" i="1"/>
  <c r="GN45" i="1"/>
  <c r="GO45" i="1"/>
  <c r="GV45" i="1"/>
  <c r="HC45" i="1" s="1"/>
  <c r="D46" i="1"/>
  <c r="I46" i="1"/>
  <c r="K46" i="1"/>
  <c r="AC46" i="1"/>
  <c r="AD46" i="1"/>
  <c r="AE46" i="1"/>
  <c r="AF46" i="1"/>
  <c r="AG46" i="1"/>
  <c r="CU46" i="1" s="1"/>
  <c r="AH46" i="1"/>
  <c r="AI46" i="1"/>
  <c r="CW46" i="1" s="1"/>
  <c r="V46" i="1" s="1"/>
  <c r="AJ46" i="1"/>
  <c r="CX46" i="1" s="1"/>
  <c r="W46" i="1" s="1"/>
  <c r="CS46" i="1"/>
  <c r="CT46" i="1"/>
  <c r="S46" i="1" s="1"/>
  <c r="CV46" i="1"/>
  <c r="U46" i="1" s="1"/>
  <c r="FR46" i="1"/>
  <c r="GL46" i="1"/>
  <c r="GN46" i="1"/>
  <c r="GO46" i="1"/>
  <c r="GV46" i="1"/>
  <c r="HC46" i="1"/>
  <c r="GX46" i="1" s="1"/>
  <c r="D47" i="1"/>
  <c r="I47" i="1"/>
  <c r="K47" i="1"/>
  <c r="AC47" i="1"/>
  <c r="AE47" i="1"/>
  <c r="CR47" i="1" s="1"/>
  <c r="AF47" i="1"/>
  <c r="CT47" i="1" s="1"/>
  <c r="AG47" i="1"/>
  <c r="CU47" i="1" s="1"/>
  <c r="T47" i="1" s="1"/>
  <c r="AH47" i="1"/>
  <c r="CV47" i="1" s="1"/>
  <c r="U47" i="1" s="1"/>
  <c r="AI47" i="1"/>
  <c r="AJ47" i="1"/>
  <c r="CW47" i="1"/>
  <c r="CX47" i="1"/>
  <c r="FR47" i="1"/>
  <c r="GL47" i="1"/>
  <c r="GN47" i="1"/>
  <c r="GO47" i="1"/>
  <c r="GV47" i="1"/>
  <c r="HC47" i="1" s="1"/>
  <c r="GX47" i="1" s="1"/>
  <c r="D48" i="1"/>
  <c r="I48" i="1"/>
  <c r="K48" i="1"/>
  <c r="AC48" i="1"/>
  <c r="CQ48" i="1" s="1"/>
  <c r="P48" i="1" s="1"/>
  <c r="AE48" i="1"/>
  <c r="CR48" i="1" s="1"/>
  <c r="Q48" i="1" s="1"/>
  <c r="AF48" i="1"/>
  <c r="CT48" i="1" s="1"/>
  <c r="S48" i="1" s="1"/>
  <c r="AG48" i="1"/>
  <c r="CU48" i="1" s="1"/>
  <c r="T48" i="1" s="1"/>
  <c r="AH48" i="1"/>
  <c r="AI48" i="1"/>
  <c r="AJ48" i="1"/>
  <c r="CV48" i="1"/>
  <c r="U48" i="1" s="1"/>
  <c r="CW48" i="1"/>
  <c r="V48" i="1" s="1"/>
  <c r="CX48" i="1"/>
  <c r="W48" i="1" s="1"/>
  <c r="FR48" i="1"/>
  <c r="GL48" i="1"/>
  <c r="GN48" i="1"/>
  <c r="GO48" i="1"/>
  <c r="GV48" i="1"/>
  <c r="HC48" i="1"/>
  <c r="GX48" i="1" s="1"/>
  <c r="B50" i="1"/>
  <c r="B30" i="1" s="1"/>
  <c r="C50" i="1"/>
  <c r="C30" i="1" s="1"/>
  <c r="D50" i="1"/>
  <c r="D30" i="1" s="1"/>
  <c r="F50" i="1"/>
  <c r="F30" i="1" s="1"/>
  <c r="G50" i="1"/>
  <c r="BB50" i="1"/>
  <c r="BC50" i="1"/>
  <c r="BX50" i="1"/>
  <c r="AO50" i="1" s="1"/>
  <c r="CK50" i="1"/>
  <c r="CK30" i="1" s="1"/>
  <c r="CL50" i="1"/>
  <c r="CL30" i="1" s="1"/>
  <c r="CM50" i="1"/>
  <c r="CM30" i="1" s="1"/>
  <c r="D80" i="1"/>
  <c r="E82" i="1"/>
  <c r="Z82" i="1"/>
  <c r="AA82" i="1"/>
  <c r="AM82" i="1"/>
  <c r="AN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CK82" i="1"/>
  <c r="CL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EF82" i="1"/>
  <c r="EG82" i="1"/>
  <c r="EH82" i="1"/>
  <c r="EI82" i="1"/>
  <c r="EJ82" i="1"/>
  <c r="EK82" i="1"/>
  <c r="EL82" i="1"/>
  <c r="EM82" i="1"/>
  <c r="EN82" i="1"/>
  <c r="EO82" i="1"/>
  <c r="EP82" i="1"/>
  <c r="EQ82" i="1"/>
  <c r="ER82" i="1"/>
  <c r="ES82" i="1"/>
  <c r="ET82" i="1"/>
  <c r="EU82" i="1"/>
  <c r="EV82" i="1"/>
  <c r="EW82" i="1"/>
  <c r="EX82" i="1"/>
  <c r="EY82" i="1"/>
  <c r="EZ82" i="1"/>
  <c r="FA82" i="1"/>
  <c r="FB82" i="1"/>
  <c r="FC82" i="1"/>
  <c r="FD82" i="1"/>
  <c r="FE82" i="1"/>
  <c r="FF82" i="1"/>
  <c r="FG82" i="1"/>
  <c r="FH82" i="1"/>
  <c r="FI82" i="1"/>
  <c r="FJ82" i="1"/>
  <c r="FK82" i="1"/>
  <c r="FL82" i="1"/>
  <c r="FM82" i="1"/>
  <c r="FN82" i="1"/>
  <c r="FO82" i="1"/>
  <c r="FP82" i="1"/>
  <c r="FQ82" i="1"/>
  <c r="FR82" i="1"/>
  <c r="FS82" i="1"/>
  <c r="FT82" i="1"/>
  <c r="FU82" i="1"/>
  <c r="FV82" i="1"/>
  <c r="FW82" i="1"/>
  <c r="FX82" i="1"/>
  <c r="FY82" i="1"/>
  <c r="FZ82" i="1"/>
  <c r="GA82" i="1"/>
  <c r="GB82" i="1"/>
  <c r="GC82" i="1"/>
  <c r="GD82" i="1"/>
  <c r="GE82" i="1"/>
  <c r="GF82" i="1"/>
  <c r="GG82" i="1"/>
  <c r="GH82" i="1"/>
  <c r="GI82" i="1"/>
  <c r="GJ82" i="1"/>
  <c r="GK82" i="1"/>
  <c r="GL82" i="1"/>
  <c r="GM82" i="1"/>
  <c r="GN82" i="1"/>
  <c r="GO82" i="1"/>
  <c r="GP82" i="1"/>
  <c r="GQ82" i="1"/>
  <c r="GR82" i="1"/>
  <c r="GS82" i="1"/>
  <c r="GT82" i="1"/>
  <c r="GU82" i="1"/>
  <c r="GV82" i="1"/>
  <c r="GW82" i="1"/>
  <c r="GX82" i="1"/>
  <c r="D84" i="1"/>
  <c r="I84" i="1"/>
  <c r="K84" i="1"/>
  <c r="Q84" i="1"/>
  <c r="AC84" i="1"/>
  <c r="AE84" i="1"/>
  <c r="CR84" i="1" s="1"/>
  <c r="AF84" i="1"/>
  <c r="AG84" i="1"/>
  <c r="CU84" i="1" s="1"/>
  <c r="T84" i="1" s="1"/>
  <c r="AH84" i="1"/>
  <c r="AI84" i="1"/>
  <c r="CW84" i="1" s="1"/>
  <c r="V84" i="1" s="1"/>
  <c r="AJ84" i="1"/>
  <c r="CX84" i="1" s="1"/>
  <c r="W84" i="1" s="1"/>
  <c r="CQ84" i="1"/>
  <c r="P84" i="1" s="1"/>
  <c r="CS84" i="1"/>
  <c r="R84" i="1" s="1"/>
  <c r="CT84" i="1"/>
  <c r="CV84" i="1"/>
  <c r="FR84" i="1"/>
  <c r="GL84" i="1"/>
  <c r="GN84" i="1"/>
  <c r="GO84" i="1"/>
  <c r="GV84" i="1"/>
  <c r="HC84" i="1"/>
  <c r="GX84" i="1" s="1"/>
  <c r="D85" i="1"/>
  <c r="I85" i="1"/>
  <c r="K85" i="1"/>
  <c r="AC85" i="1"/>
  <c r="CQ85" i="1" s="1"/>
  <c r="AD85" i="1"/>
  <c r="AE85" i="1"/>
  <c r="AF85" i="1"/>
  <c r="AG85" i="1"/>
  <c r="CU85" i="1" s="1"/>
  <c r="T85" i="1" s="1"/>
  <c r="AH85" i="1"/>
  <c r="CV85" i="1" s="1"/>
  <c r="U85" i="1" s="1"/>
  <c r="AI85" i="1"/>
  <c r="CW85" i="1" s="1"/>
  <c r="AJ85" i="1"/>
  <c r="CR85" i="1"/>
  <c r="CS85" i="1"/>
  <c r="CX85" i="1"/>
  <c r="FR85" i="1"/>
  <c r="GL85" i="1"/>
  <c r="BZ92" i="1" s="1"/>
  <c r="GN85" i="1"/>
  <c r="CB92" i="1" s="1"/>
  <c r="GO85" i="1"/>
  <c r="CC92" i="1" s="1"/>
  <c r="GV85" i="1"/>
  <c r="HC85" i="1" s="1"/>
  <c r="D86" i="1"/>
  <c r="P86" i="1"/>
  <c r="AC86" i="1"/>
  <c r="CQ86" i="1" s="1"/>
  <c r="AE86" i="1"/>
  <c r="AF86" i="1"/>
  <c r="CT86" i="1" s="1"/>
  <c r="S86" i="1" s="1"/>
  <c r="AG86" i="1"/>
  <c r="AH86" i="1"/>
  <c r="CV86" i="1" s="1"/>
  <c r="U86" i="1" s="1"/>
  <c r="AI86" i="1"/>
  <c r="CW86" i="1" s="1"/>
  <c r="V86" i="1" s="1"/>
  <c r="AJ86" i="1"/>
  <c r="CU86" i="1"/>
  <c r="T86" i="1" s="1"/>
  <c r="CX86" i="1"/>
  <c r="W86" i="1" s="1"/>
  <c r="FR86" i="1"/>
  <c r="GL86" i="1"/>
  <c r="GN86" i="1"/>
  <c r="GO86" i="1"/>
  <c r="GV86" i="1"/>
  <c r="HC86" i="1"/>
  <c r="GX86" i="1" s="1"/>
  <c r="D87" i="1"/>
  <c r="V87" i="1"/>
  <c r="AC87" i="1"/>
  <c r="CQ87" i="1" s="1"/>
  <c r="P87" i="1" s="1"/>
  <c r="CP87" i="1" s="1"/>
  <c r="O87" i="1" s="1"/>
  <c r="AE87" i="1"/>
  <c r="AD87" i="1" s="1"/>
  <c r="AF87" i="1"/>
  <c r="AG87" i="1"/>
  <c r="AH87" i="1"/>
  <c r="CV87" i="1" s="1"/>
  <c r="U87" i="1" s="1"/>
  <c r="AI87" i="1"/>
  <c r="CW87" i="1" s="1"/>
  <c r="AJ87" i="1"/>
  <c r="CX87" i="1" s="1"/>
  <c r="W87" i="1" s="1"/>
  <c r="CR87" i="1"/>
  <c r="Q87" i="1" s="1"/>
  <c r="CS87" i="1"/>
  <c r="R87" i="1" s="1"/>
  <c r="GK87" i="1" s="1"/>
  <c r="CT87" i="1"/>
  <c r="S87" i="1" s="1"/>
  <c r="CU87" i="1"/>
  <c r="T87" i="1" s="1"/>
  <c r="FR87" i="1"/>
  <c r="GL87" i="1"/>
  <c r="GN87" i="1"/>
  <c r="GO87" i="1"/>
  <c r="GV87" i="1"/>
  <c r="HC87" i="1"/>
  <c r="GX87" i="1" s="1"/>
  <c r="D88" i="1"/>
  <c r="W88" i="1"/>
  <c r="AB88" i="1"/>
  <c r="AC88" i="1"/>
  <c r="AD88" i="1"/>
  <c r="AE88" i="1"/>
  <c r="CR88" i="1" s="1"/>
  <c r="Q88" i="1" s="1"/>
  <c r="AF88" i="1"/>
  <c r="AG88" i="1"/>
  <c r="AH88" i="1"/>
  <c r="CV88" i="1" s="1"/>
  <c r="U88" i="1" s="1"/>
  <c r="AI88" i="1"/>
  <c r="AJ88" i="1"/>
  <c r="CQ88" i="1"/>
  <c r="P88" i="1" s="1"/>
  <c r="CS88" i="1"/>
  <c r="R88" i="1" s="1"/>
  <c r="GK88" i="1" s="1"/>
  <c r="CT88" i="1"/>
  <c r="S88" i="1" s="1"/>
  <c r="CU88" i="1"/>
  <c r="T88" i="1" s="1"/>
  <c r="CW88" i="1"/>
  <c r="V88" i="1" s="1"/>
  <c r="CX88" i="1"/>
  <c r="FR88" i="1"/>
  <c r="GL88" i="1"/>
  <c r="GN88" i="1"/>
  <c r="GO88" i="1"/>
  <c r="GV88" i="1"/>
  <c r="HC88" i="1"/>
  <c r="GX88" i="1" s="1"/>
  <c r="D89" i="1"/>
  <c r="AC89" i="1"/>
  <c r="AE89" i="1"/>
  <c r="CS89" i="1" s="1"/>
  <c r="R89" i="1" s="1"/>
  <c r="GK89" i="1" s="1"/>
  <c r="AF89" i="1"/>
  <c r="CT89" i="1" s="1"/>
  <c r="S89" i="1" s="1"/>
  <c r="AG89" i="1"/>
  <c r="CU89" i="1" s="1"/>
  <c r="T89" i="1" s="1"/>
  <c r="AH89" i="1"/>
  <c r="CV89" i="1" s="1"/>
  <c r="U89" i="1" s="1"/>
  <c r="AI89" i="1"/>
  <c r="CW89" i="1" s="1"/>
  <c r="V89" i="1" s="1"/>
  <c r="AJ89" i="1"/>
  <c r="CX89" i="1" s="1"/>
  <c r="W89" i="1" s="1"/>
  <c r="CQ89" i="1"/>
  <c r="P89" i="1" s="1"/>
  <c r="FR89" i="1"/>
  <c r="GL89" i="1"/>
  <c r="GN89" i="1"/>
  <c r="GO89" i="1"/>
  <c r="GV89" i="1"/>
  <c r="HC89" i="1" s="1"/>
  <c r="GX89" i="1" s="1"/>
  <c r="D90" i="1"/>
  <c r="I90" i="1"/>
  <c r="K90" i="1"/>
  <c r="AC90" i="1"/>
  <c r="AE90" i="1"/>
  <c r="CR90" i="1" s="1"/>
  <c r="Q90" i="1" s="1"/>
  <c r="AF90" i="1"/>
  <c r="AG90" i="1"/>
  <c r="CU90" i="1" s="1"/>
  <c r="T90" i="1" s="1"/>
  <c r="AH90" i="1"/>
  <c r="CV90" i="1" s="1"/>
  <c r="AI90" i="1"/>
  <c r="CW90" i="1" s="1"/>
  <c r="AJ90" i="1"/>
  <c r="CX90" i="1" s="1"/>
  <c r="CQ90" i="1"/>
  <c r="FR90" i="1"/>
  <c r="GL90" i="1"/>
  <c r="GN90" i="1"/>
  <c r="GO90" i="1"/>
  <c r="GV90" i="1"/>
  <c r="HC90" i="1" s="1"/>
  <c r="B92" i="1"/>
  <c r="B82" i="1" s="1"/>
  <c r="C92" i="1"/>
  <c r="C82" i="1" s="1"/>
  <c r="D92" i="1"/>
  <c r="D82" i="1" s="1"/>
  <c r="F92" i="1"/>
  <c r="F82" i="1" s="1"/>
  <c r="G92" i="1"/>
  <c r="BB92" i="1"/>
  <c r="BB82" i="1" s="1"/>
  <c r="BX92" i="1"/>
  <c r="CK92" i="1"/>
  <c r="CL92" i="1"/>
  <c r="BC92" i="1" s="1"/>
  <c r="CM92" i="1"/>
  <c r="F105" i="1"/>
  <c r="D122" i="1"/>
  <c r="E124" i="1"/>
  <c r="Z124" i="1"/>
  <c r="AA124" i="1"/>
  <c r="AM124" i="1"/>
  <c r="AN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EG124" i="1"/>
  <c r="EH124" i="1"/>
  <c r="EI124" i="1"/>
  <c r="EJ124" i="1"/>
  <c r="EK124" i="1"/>
  <c r="EL124" i="1"/>
  <c r="EM124" i="1"/>
  <c r="EN124" i="1"/>
  <c r="EO124" i="1"/>
  <c r="EP124" i="1"/>
  <c r="EQ124" i="1"/>
  <c r="ER124" i="1"/>
  <c r="ES124" i="1"/>
  <c r="ET124" i="1"/>
  <c r="EU124" i="1"/>
  <c r="EV124" i="1"/>
  <c r="EW124" i="1"/>
  <c r="EX124" i="1"/>
  <c r="EY124" i="1"/>
  <c r="EZ124" i="1"/>
  <c r="FA124" i="1"/>
  <c r="FB124" i="1"/>
  <c r="FC124" i="1"/>
  <c r="FD124" i="1"/>
  <c r="FE124" i="1"/>
  <c r="FF124" i="1"/>
  <c r="FG124" i="1"/>
  <c r="FH124" i="1"/>
  <c r="FI124" i="1"/>
  <c r="FJ124" i="1"/>
  <c r="FK124" i="1"/>
  <c r="FL124" i="1"/>
  <c r="FM124" i="1"/>
  <c r="FN124" i="1"/>
  <c r="FO124" i="1"/>
  <c r="FP124" i="1"/>
  <c r="FQ124" i="1"/>
  <c r="FR124" i="1"/>
  <c r="FS124" i="1"/>
  <c r="FT124" i="1"/>
  <c r="FU124" i="1"/>
  <c r="FV124" i="1"/>
  <c r="FW124" i="1"/>
  <c r="FX124" i="1"/>
  <c r="FY124" i="1"/>
  <c r="FZ124" i="1"/>
  <c r="GA124" i="1"/>
  <c r="GB124" i="1"/>
  <c r="GC124" i="1"/>
  <c r="GD124" i="1"/>
  <c r="GE124" i="1"/>
  <c r="GF124" i="1"/>
  <c r="GG124" i="1"/>
  <c r="GH124" i="1"/>
  <c r="GI124" i="1"/>
  <c r="GJ124" i="1"/>
  <c r="GK124" i="1"/>
  <c r="GL124" i="1"/>
  <c r="GM124" i="1"/>
  <c r="GN124" i="1"/>
  <c r="GO124" i="1"/>
  <c r="GP124" i="1"/>
  <c r="GQ124" i="1"/>
  <c r="GR124" i="1"/>
  <c r="GS124" i="1"/>
  <c r="GT124" i="1"/>
  <c r="GU124" i="1"/>
  <c r="GV124" i="1"/>
  <c r="GW124" i="1"/>
  <c r="GX124" i="1"/>
  <c r="D126" i="1"/>
  <c r="I126" i="1"/>
  <c r="K126" i="1"/>
  <c r="AC126" i="1"/>
  <c r="CQ126" i="1" s="1"/>
  <c r="AE126" i="1"/>
  <c r="AF126" i="1"/>
  <c r="AG126" i="1"/>
  <c r="CU126" i="1" s="1"/>
  <c r="AH126" i="1"/>
  <c r="AI126" i="1"/>
  <c r="CW126" i="1" s="1"/>
  <c r="AJ126" i="1"/>
  <c r="CR126" i="1"/>
  <c r="CT126" i="1"/>
  <c r="CV126" i="1"/>
  <c r="U126" i="1" s="1"/>
  <c r="CX126" i="1"/>
  <c r="FR126" i="1"/>
  <c r="GL126" i="1"/>
  <c r="GN126" i="1"/>
  <c r="GO126" i="1"/>
  <c r="GV126" i="1"/>
  <c r="HC126" i="1" s="1"/>
  <c r="D127" i="1"/>
  <c r="I127" i="1"/>
  <c r="K127" i="1"/>
  <c r="AC127" i="1"/>
  <c r="AD127" i="1"/>
  <c r="AE127" i="1"/>
  <c r="AF127" i="1"/>
  <c r="CT127" i="1" s="1"/>
  <c r="AG127" i="1"/>
  <c r="CU127" i="1" s="1"/>
  <c r="AH127" i="1"/>
  <c r="AI127" i="1"/>
  <c r="CW127" i="1" s="1"/>
  <c r="AJ127" i="1"/>
  <c r="CX127" i="1" s="1"/>
  <c r="CV127" i="1"/>
  <c r="FR127" i="1"/>
  <c r="GL127" i="1"/>
  <c r="GN127" i="1"/>
  <c r="GO127" i="1"/>
  <c r="GV127" i="1"/>
  <c r="HC127" i="1" s="1"/>
  <c r="D128" i="1"/>
  <c r="I128" i="1"/>
  <c r="K128" i="1"/>
  <c r="AC128" i="1"/>
  <c r="AE128" i="1"/>
  <c r="CS128" i="1" s="1"/>
  <c r="R128" i="1" s="1"/>
  <c r="GK128" i="1" s="1"/>
  <c r="AF128" i="1"/>
  <c r="CT128" i="1" s="1"/>
  <c r="AG128" i="1"/>
  <c r="CU128" i="1" s="1"/>
  <c r="AH128" i="1"/>
  <c r="CV128" i="1" s="1"/>
  <c r="AI128" i="1"/>
  <c r="CW128" i="1" s="1"/>
  <c r="AJ128" i="1"/>
  <c r="CX128" i="1" s="1"/>
  <c r="W128" i="1" s="1"/>
  <c r="CQ128" i="1"/>
  <c r="FR128" i="1"/>
  <c r="GL128" i="1"/>
  <c r="GN128" i="1"/>
  <c r="GO128" i="1"/>
  <c r="GV128" i="1"/>
  <c r="HC128" i="1" s="1"/>
  <c r="GX128" i="1" s="1"/>
  <c r="D129" i="1"/>
  <c r="I129" i="1"/>
  <c r="K129" i="1"/>
  <c r="W129" i="1"/>
  <c r="AC129" i="1"/>
  <c r="AD129" i="1"/>
  <c r="AE129" i="1"/>
  <c r="CR129" i="1" s="1"/>
  <c r="Q129" i="1" s="1"/>
  <c r="AF129" i="1"/>
  <c r="AG129" i="1"/>
  <c r="AH129" i="1"/>
  <c r="CV129" i="1" s="1"/>
  <c r="U129" i="1" s="1"/>
  <c r="AI129" i="1"/>
  <c r="CW129" i="1" s="1"/>
  <c r="AJ129" i="1"/>
  <c r="CS129" i="1"/>
  <c r="CT129" i="1"/>
  <c r="S129" i="1" s="1"/>
  <c r="CU129" i="1"/>
  <c r="T129" i="1" s="1"/>
  <c r="CX129" i="1"/>
  <c r="FR129" i="1"/>
  <c r="GL129" i="1"/>
  <c r="GN129" i="1"/>
  <c r="GO129" i="1"/>
  <c r="GV129" i="1"/>
  <c r="HC129" i="1" s="1"/>
  <c r="GX129" i="1" s="1"/>
  <c r="D130" i="1"/>
  <c r="I130" i="1"/>
  <c r="K130" i="1"/>
  <c r="R130" i="1"/>
  <c r="GK130" i="1" s="1"/>
  <c r="AC130" i="1"/>
  <c r="CQ130" i="1" s="1"/>
  <c r="AD130" i="1"/>
  <c r="AE130" i="1"/>
  <c r="CS130" i="1" s="1"/>
  <c r="AF130" i="1"/>
  <c r="CT130" i="1" s="1"/>
  <c r="AG130" i="1"/>
  <c r="CU130" i="1" s="1"/>
  <c r="AH130" i="1"/>
  <c r="CV130" i="1" s="1"/>
  <c r="AI130" i="1"/>
  <c r="AJ130" i="1"/>
  <c r="CW130" i="1"/>
  <c r="V130" i="1" s="1"/>
  <c r="CX130" i="1"/>
  <c r="W130" i="1" s="1"/>
  <c r="FR130" i="1"/>
  <c r="GL130" i="1"/>
  <c r="GN130" i="1"/>
  <c r="GO130" i="1"/>
  <c r="GV130" i="1"/>
  <c r="HC130" i="1" s="1"/>
  <c r="D131" i="1"/>
  <c r="I131" i="1"/>
  <c r="K131" i="1"/>
  <c r="AC131" i="1"/>
  <c r="CQ131" i="1" s="1"/>
  <c r="P131" i="1" s="1"/>
  <c r="AE131" i="1"/>
  <c r="AF131" i="1"/>
  <c r="AG131" i="1"/>
  <c r="CU131" i="1" s="1"/>
  <c r="T131" i="1" s="1"/>
  <c r="AH131" i="1"/>
  <c r="CV131" i="1" s="1"/>
  <c r="U131" i="1" s="1"/>
  <c r="AI131" i="1"/>
  <c r="AJ131" i="1"/>
  <c r="CT131" i="1"/>
  <c r="S131" i="1" s="1"/>
  <c r="CZ131" i="1" s="1"/>
  <c r="Y131" i="1" s="1"/>
  <c r="CW131" i="1"/>
  <c r="V131" i="1" s="1"/>
  <c r="CX131" i="1"/>
  <c r="W131" i="1" s="1"/>
  <c r="FR131" i="1"/>
  <c r="GL131" i="1"/>
  <c r="GN131" i="1"/>
  <c r="GO131" i="1"/>
  <c r="GV131" i="1"/>
  <c r="HC131" i="1" s="1"/>
  <c r="GX131" i="1" s="1"/>
  <c r="D132" i="1"/>
  <c r="I132" i="1"/>
  <c r="K132" i="1"/>
  <c r="P132" i="1"/>
  <c r="AC132" i="1"/>
  <c r="CQ132" i="1" s="1"/>
  <c r="AD132" i="1"/>
  <c r="AE132" i="1"/>
  <c r="AF132" i="1"/>
  <c r="AG132" i="1"/>
  <c r="AH132" i="1"/>
  <c r="AI132" i="1"/>
  <c r="AJ132" i="1"/>
  <c r="CS132" i="1"/>
  <c r="R132" i="1" s="1"/>
  <c r="GK132" i="1" s="1"/>
  <c r="CU132" i="1"/>
  <c r="T132" i="1" s="1"/>
  <c r="CV132" i="1"/>
  <c r="U132" i="1" s="1"/>
  <c r="CW132" i="1"/>
  <c r="CX132" i="1"/>
  <c r="W132" i="1" s="1"/>
  <c r="FR132" i="1"/>
  <c r="GL132" i="1"/>
  <c r="GN132" i="1"/>
  <c r="GO132" i="1"/>
  <c r="GV132" i="1"/>
  <c r="HC132" i="1" s="1"/>
  <c r="D133" i="1"/>
  <c r="I133" i="1"/>
  <c r="K133" i="1"/>
  <c r="AC133" i="1"/>
  <c r="CQ133" i="1" s="1"/>
  <c r="AE133" i="1"/>
  <c r="AF133" i="1"/>
  <c r="AG133" i="1"/>
  <c r="CU133" i="1" s="1"/>
  <c r="AH133" i="1"/>
  <c r="CV133" i="1" s="1"/>
  <c r="AI133" i="1"/>
  <c r="CW133" i="1" s="1"/>
  <c r="AJ133" i="1"/>
  <c r="CX133" i="1" s="1"/>
  <c r="FR133" i="1"/>
  <c r="GL133" i="1"/>
  <c r="GN133" i="1"/>
  <c r="GO133" i="1"/>
  <c r="GV133" i="1"/>
  <c r="HC133" i="1" s="1"/>
  <c r="D134" i="1"/>
  <c r="I134" i="1"/>
  <c r="K134" i="1"/>
  <c r="AC134" i="1"/>
  <c r="AE134" i="1"/>
  <c r="CR134" i="1" s="1"/>
  <c r="Q134" i="1" s="1"/>
  <c r="AF134" i="1"/>
  <c r="AG134" i="1"/>
  <c r="AH134" i="1"/>
  <c r="CV134" i="1" s="1"/>
  <c r="U134" i="1" s="1"/>
  <c r="AI134" i="1"/>
  <c r="CW134" i="1" s="1"/>
  <c r="V134" i="1" s="1"/>
  <c r="AJ134" i="1"/>
  <c r="CX134" i="1" s="1"/>
  <c r="W134" i="1" s="1"/>
  <c r="CQ134" i="1"/>
  <c r="P134" i="1" s="1"/>
  <c r="CS134" i="1"/>
  <c r="CU134" i="1"/>
  <c r="FR134" i="1"/>
  <c r="GL134" i="1"/>
  <c r="GN134" i="1"/>
  <c r="GO134" i="1"/>
  <c r="GV134" i="1"/>
  <c r="HC134" i="1"/>
  <c r="GX134" i="1" s="1"/>
  <c r="D135" i="1"/>
  <c r="I135" i="1"/>
  <c r="K135" i="1"/>
  <c r="AC135" i="1"/>
  <c r="AE135" i="1"/>
  <c r="CR135" i="1" s="1"/>
  <c r="Q135" i="1" s="1"/>
  <c r="AF135" i="1"/>
  <c r="AG135" i="1"/>
  <c r="CU135" i="1" s="1"/>
  <c r="T135" i="1" s="1"/>
  <c r="AH135" i="1"/>
  <c r="CV135" i="1" s="1"/>
  <c r="U135" i="1" s="1"/>
  <c r="AI135" i="1"/>
  <c r="CW135" i="1" s="1"/>
  <c r="V135" i="1" s="1"/>
  <c r="AJ135" i="1"/>
  <c r="CX135" i="1" s="1"/>
  <c r="W135" i="1" s="1"/>
  <c r="CS135" i="1"/>
  <c r="CT135" i="1"/>
  <c r="S135" i="1" s="1"/>
  <c r="CY135" i="1"/>
  <c r="X135" i="1" s="1"/>
  <c r="FR135" i="1"/>
  <c r="GL135" i="1"/>
  <c r="GN135" i="1"/>
  <c r="GO135" i="1"/>
  <c r="GV135" i="1"/>
  <c r="HC135" i="1" s="1"/>
  <c r="GX135" i="1" s="1"/>
  <c r="D136" i="1"/>
  <c r="I136" i="1"/>
  <c r="K136" i="1"/>
  <c r="AC136" i="1"/>
  <c r="CQ136" i="1" s="1"/>
  <c r="P136" i="1" s="1"/>
  <c r="AE136" i="1"/>
  <c r="AF136" i="1"/>
  <c r="AG136" i="1"/>
  <c r="CU136" i="1" s="1"/>
  <c r="T136" i="1" s="1"/>
  <c r="AH136" i="1"/>
  <c r="CV136" i="1" s="1"/>
  <c r="U136" i="1" s="1"/>
  <c r="AI136" i="1"/>
  <c r="CW136" i="1" s="1"/>
  <c r="V136" i="1" s="1"/>
  <c r="AJ136" i="1"/>
  <c r="CX136" i="1" s="1"/>
  <c r="W136" i="1" s="1"/>
  <c r="FR136" i="1"/>
  <c r="GL136" i="1"/>
  <c r="GN136" i="1"/>
  <c r="GO136" i="1"/>
  <c r="GV136" i="1"/>
  <c r="HC136" i="1" s="1"/>
  <c r="GX136" i="1" s="1"/>
  <c r="D137" i="1"/>
  <c r="I137" i="1"/>
  <c r="K137" i="1"/>
  <c r="AC137" i="1"/>
  <c r="CQ137" i="1" s="1"/>
  <c r="P137" i="1" s="1"/>
  <c r="AE137" i="1"/>
  <c r="AF137" i="1"/>
  <c r="AG137" i="1"/>
  <c r="CU137" i="1" s="1"/>
  <c r="AH137" i="1"/>
  <c r="CV137" i="1" s="1"/>
  <c r="AI137" i="1"/>
  <c r="CW137" i="1" s="1"/>
  <c r="V137" i="1" s="1"/>
  <c r="AJ137" i="1"/>
  <c r="CX137" i="1" s="1"/>
  <c r="FR137" i="1"/>
  <c r="GL137" i="1"/>
  <c r="GN137" i="1"/>
  <c r="GO137" i="1"/>
  <c r="GV137" i="1"/>
  <c r="HC137" i="1" s="1"/>
  <c r="GX137" i="1" s="1"/>
  <c r="D138" i="1"/>
  <c r="I138" i="1"/>
  <c r="K138" i="1"/>
  <c r="AC138" i="1"/>
  <c r="CQ138" i="1" s="1"/>
  <c r="P138" i="1" s="1"/>
  <c r="AE138" i="1"/>
  <c r="AF138" i="1"/>
  <c r="CT138" i="1" s="1"/>
  <c r="S138" i="1" s="1"/>
  <c r="AG138" i="1"/>
  <c r="AH138" i="1"/>
  <c r="AI138" i="1"/>
  <c r="AJ138" i="1"/>
  <c r="CX138" i="1" s="1"/>
  <c r="W138" i="1" s="1"/>
  <c r="CU138" i="1"/>
  <c r="CV138" i="1"/>
  <c r="U138" i="1" s="1"/>
  <c r="CW138" i="1"/>
  <c r="V138" i="1" s="1"/>
  <c r="FR138" i="1"/>
  <c r="GL138" i="1"/>
  <c r="GN138" i="1"/>
  <c r="GO138" i="1"/>
  <c r="GV138" i="1"/>
  <c r="HC138" i="1" s="1"/>
  <c r="D139" i="1"/>
  <c r="I139" i="1"/>
  <c r="W139" i="1" s="1"/>
  <c r="K139" i="1"/>
  <c r="AC139" i="1"/>
  <c r="AE139" i="1"/>
  <c r="AF139" i="1"/>
  <c r="CT139" i="1" s="1"/>
  <c r="AG139" i="1"/>
  <c r="CU139" i="1" s="1"/>
  <c r="T139" i="1" s="1"/>
  <c r="AH139" i="1"/>
  <c r="AI139" i="1"/>
  <c r="AJ139" i="1"/>
  <c r="CX139" i="1" s="1"/>
  <c r="CV139" i="1"/>
  <c r="U139" i="1" s="1"/>
  <c r="CW139" i="1"/>
  <c r="V139" i="1" s="1"/>
  <c r="FR139" i="1"/>
  <c r="GL139" i="1"/>
  <c r="GN139" i="1"/>
  <c r="GO139" i="1"/>
  <c r="GV139" i="1"/>
  <c r="HC139" i="1"/>
  <c r="D140" i="1"/>
  <c r="I140" i="1"/>
  <c r="K140" i="1"/>
  <c r="AC140" i="1"/>
  <c r="AE140" i="1"/>
  <c r="AF140" i="1"/>
  <c r="AG140" i="1"/>
  <c r="AH140" i="1"/>
  <c r="CV140" i="1" s="1"/>
  <c r="AI140" i="1"/>
  <c r="CW140" i="1" s="1"/>
  <c r="AJ140" i="1"/>
  <c r="CX140" i="1" s="1"/>
  <c r="CU140" i="1"/>
  <c r="FR140" i="1"/>
  <c r="GL140" i="1"/>
  <c r="GN140" i="1"/>
  <c r="GO140" i="1"/>
  <c r="GV140" i="1"/>
  <c r="HC140" i="1"/>
  <c r="D141" i="1"/>
  <c r="I141" i="1"/>
  <c r="K141" i="1"/>
  <c r="AC141" i="1"/>
  <c r="AE141" i="1"/>
  <c r="AF141" i="1"/>
  <c r="CT141" i="1" s="1"/>
  <c r="AG141" i="1"/>
  <c r="CU141" i="1" s="1"/>
  <c r="T141" i="1" s="1"/>
  <c r="AH141" i="1"/>
  <c r="CV141" i="1" s="1"/>
  <c r="AI141" i="1"/>
  <c r="CW141" i="1" s="1"/>
  <c r="V141" i="1" s="1"/>
  <c r="AJ141" i="1"/>
  <c r="CX141" i="1" s="1"/>
  <c r="CQ141" i="1"/>
  <c r="P141" i="1" s="1"/>
  <c r="FR141" i="1"/>
  <c r="GL141" i="1"/>
  <c r="GN141" i="1"/>
  <c r="GO141" i="1"/>
  <c r="GV141" i="1"/>
  <c r="HC141" i="1" s="1"/>
  <c r="GX141" i="1" s="1"/>
  <c r="D142" i="1"/>
  <c r="I142" i="1"/>
  <c r="K142" i="1"/>
  <c r="P142" i="1"/>
  <c r="AC142" i="1"/>
  <c r="AE142" i="1"/>
  <c r="AF142" i="1"/>
  <c r="CT142" i="1" s="1"/>
  <c r="S142" i="1" s="1"/>
  <c r="AG142" i="1"/>
  <c r="AH142" i="1"/>
  <c r="CV142" i="1" s="1"/>
  <c r="U142" i="1" s="1"/>
  <c r="AI142" i="1"/>
  <c r="CW142" i="1" s="1"/>
  <c r="AJ142" i="1"/>
  <c r="CX142" i="1" s="1"/>
  <c r="CQ142" i="1"/>
  <c r="CR142" i="1"/>
  <c r="CS142" i="1"/>
  <c r="CU142" i="1"/>
  <c r="FR142" i="1"/>
  <c r="GL142" i="1"/>
  <c r="GN142" i="1"/>
  <c r="GO142" i="1"/>
  <c r="GV142" i="1"/>
  <c r="HC142" i="1" s="1"/>
  <c r="D143" i="1"/>
  <c r="I143" i="1"/>
  <c r="K143" i="1"/>
  <c r="AC143" i="1"/>
  <c r="CQ143" i="1" s="1"/>
  <c r="AD143" i="1"/>
  <c r="AE143" i="1"/>
  <c r="AF143" i="1"/>
  <c r="CT143" i="1" s="1"/>
  <c r="AG143" i="1"/>
  <c r="CU143" i="1" s="1"/>
  <c r="AH143" i="1"/>
  <c r="AI143" i="1"/>
  <c r="AJ143" i="1"/>
  <c r="CV143" i="1"/>
  <c r="CW143" i="1"/>
  <c r="CX143" i="1"/>
  <c r="FR143" i="1"/>
  <c r="GL143" i="1"/>
  <c r="GN143" i="1"/>
  <c r="GO143" i="1"/>
  <c r="GV143" i="1"/>
  <c r="HC143" i="1" s="1"/>
  <c r="D144" i="1"/>
  <c r="I144" i="1"/>
  <c r="K144" i="1"/>
  <c r="AC144" i="1"/>
  <c r="AE144" i="1"/>
  <c r="AF144" i="1"/>
  <c r="AG144" i="1"/>
  <c r="AH144" i="1"/>
  <c r="AI144" i="1"/>
  <c r="CW144" i="1" s="1"/>
  <c r="AJ144" i="1"/>
  <c r="CU144" i="1"/>
  <c r="CV144" i="1"/>
  <c r="CX144" i="1"/>
  <c r="FR144" i="1"/>
  <c r="GL144" i="1"/>
  <c r="GN144" i="1"/>
  <c r="GO144" i="1"/>
  <c r="GV144" i="1"/>
  <c r="HC144" i="1" s="1"/>
  <c r="D145" i="1"/>
  <c r="I145" i="1"/>
  <c r="K145" i="1"/>
  <c r="AC145" i="1"/>
  <c r="CQ145" i="1" s="1"/>
  <c r="P145" i="1" s="1"/>
  <c r="AE145" i="1"/>
  <c r="AF145" i="1"/>
  <c r="CT145" i="1" s="1"/>
  <c r="AG145" i="1"/>
  <c r="CU145" i="1" s="1"/>
  <c r="T145" i="1" s="1"/>
  <c r="AH145" i="1"/>
  <c r="CV145" i="1" s="1"/>
  <c r="U145" i="1" s="1"/>
  <c r="AI145" i="1"/>
  <c r="CW145" i="1" s="1"/>
  <c r="V145" i="1" s="1"/>
  <c r="AJ145" i="1"/>
  <c r="CX145" i="1" s="1"/>
  <c r="CS145" i="1"/>
  <c r="FR145" i="1"/>
  <c r="GL145" i="1"/>
  <c r="GN145" i="1"/>
  <c r="GO145" i="1"/>
  <c r="GV145" i="1"/>
  <c r="HC145" i="1"/>
  <c r="GX145" i="1" s="1"/>
  <c r="D146" i="1"/>
  <c r="I146" i="1"/>
  <c r="K146" i="1"/>
  <c r="AC146" i="1"/>
  <c r="CQ146" i="1" s="1"/>
  <c r="AE146" i="1"/>
  <c r="AF146" i="1"/>
  <c r="CT146" i="1" s="1"/>
  <c r="AG146" i="1"/>
  <c r="CU146" i="1" s="1"/>
  <c r="T146" i="1" s="1"/>
  <c r="AH146" i="1"/>
  <c r="AI146" i="1"/>
  <c r="CW146" i="1" s="1"/>
  <c r="AJ146" i="1"/>
  <c r="CX146" i="1" s="1"/>
  <c r="CR146" i="1"/>
  <c r="CS146" i="1"/>
  <c r="CV146" i="1"/>
  <c r="FR146" i="1"/>
  <c r="GL146" i="1"/>
  <c r="GN146" i="1"/>
  <c r="GO146" i="1"/>
  <c r="GV146" i="1"/>
  <c r="HC146" i="1" s="1"/>
  <c r="GX146" i="1"/>
  <c r="D147" i="1"/>
  <c r="I147" i="1"/>
  <c r="K147" i="1"/>
  <c r="AC147" i="1"/>
  <c r="AE147" i="1"/>
  <c r="AF147" i="1"/>
  <c r="CT147" i="1" s="1"/>
  <c r="S147" i="1" s="1"/>
  <c r="CZ147" i="1" s="1"/>
  <c r="Y147" i="1" s="1"/>
  <c r="AG147" i="1"/>
  <c r="AH147" i="1"/>
  <c r="CV147" i="1" s="1"/>
  <c r="AI147" i="1"/>
  <c r="CW147" i="1" s="1"/>
  <c r="AJ147" i="1"/>
  <c r="CX147" i="1" s="1"/>
  <c r="CU147" i="1"/>
  <c r="T147" i="1" s="1"/>
  <c r="FR147" i="1"/>
  <c r="GL147" i="1"/>
  <c r="GN147" i="1"/>
  <c r="GO147" i="1"/>
  <c r="GV147" i="1"/>
  <c r="HC147" i="1" s="1"/>
  <c r="B149" i="1"/>
  <c r="B124" i="1" s="1"/>
  <c r="C149" i="1"/>
  <c r="C124" i="1" s="1"/>
  <c r="D149" i="1"/>
  <c r="D124" i="1" s="1"/>
  <c r="F149" i="1"/>
  <c r="F124" i="1" s="1"/>
  <c r="G149" i="1"/>
  <c r="BX149" i="1"/>
  <c r="CK149" i="1"/>
  <c r="CK124" i="1" s="1"/>
  <c r="CL149" i="1"/>
  <c r="CM149" i="1"/>
  <c r="CM124" i="1" s="1"/>
  <c r="B179" i="1"/>
  <c r="B26" i="1" s="1"/>
  <c r="C179" i="1"/>
  <c r="C26" i="1" s="1"/>
  <c r="D179" i="1"/>
  <c r="D26" i="1" s="1"/>
  <c r="F179" i="1"/>
  <c r="F26" i="1" s="1"/>
  <c r="G179" i="1"/>
  <c r="D209" i="1"/>
  <c r="E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BE211" i="1"/>
  <c r="BF211" i="1"/>
  <c r="BG211" i="1"/>
  <c r="BH211" i="1"/>
  <c r="BI211" i="1"/>
  <c r="BJ211" i="1"/>
  <c r="BK211" i="1"/>
  <c r="BL211" i="1"/>
  <c r="BM211" i="1"/>
  <c r="BN211" i="1"/>
  <c r="BO211" i="1"/>
  <c r="BP211" i="1"/>
  <c r="BQ211" i="1"/>
  <c r="BR211" i="1"/>
  <c r="BS211" i="1"/>
  <c r="BT211" i="1"/>
  <c r="BU211" i="1"/>
  <c r="BV211" i="1"/>
  <c r="BW211" i="1"/>
  <c r="BX211" i="1"/>
  <c r="BY211" i="1"/>
  <c r="BZ211" i="1"/>
  <c r="CA211" i="1"/>
  <c r="CB211" i="1"/>
  <c r="CC211" i="1"/>
  <c r="CD211" i="1"/>
  <c r="CE211" i="1"/>
  <c r="CF211" i="1"/>
  <c r="CG211" i="1"/>
  <c r="CH211" i="1"/>
  <c r="CI211" i="1"/>
  <c r="CJ211" i="1"/>
  <c r="CK211" i="1"/>
  <c r="CL211" i="1"/>
  <c r="CM211" i="1"/>
  <c r="CN211" i="1"/>
  <c r="CO211" i="1"/>
  <c r="CP211" i="1"/>
  <c r="CQ211" i="1"/>
  <c r="CR211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DG211" i="1"/>
  <c r="DH211" i="1"/>
  <c r="DI211" i="1"/>
  <c r="DJ211" i="1"/>
  <c r="DK211" i="1"/>
  <c r="DL211" i="1"/>
  <c r="DM211" i="1"/>
  <c r="DN211" i="1"/>
  <c r="DO211" i="1"/>
  <c r="DP211" i="1"/>
  <c r="DQ211" i="1"/>
  <c r="DR211" i="1"/>
  <c r="DS211" i="1"/>
  <c r="DT211" i="1"/>
  <c r="DU211" i="1"/>
  <c r="DV211" i="1"/>
  <c r="DW211" i="1"/>
  <c r="DX211" i="1"/>
  <c r="DY211" i="1"/>
  <c r="DZ211" i="1"/>
  <c r="EA211" i="1"/>
  <c r="EB211" i="1"/>
  <c r="EC211" i="1"/>
  <c r="ED211" i="1"/>
  <c r="EE211" i="1"/>
  <c r="EF211" i="1"/>
  <c r="EG211" i="1"/>
  <c r="EH211" i="1"/>
  <c r="EI211" i="1"/>
  <c r="EJ211" i="1"/>
  <c r="EK211" i="1"/>
  <c r="EL211" i="1"/>
  <c r="EM211" i="1"/>
  <c r="EN211" i="1"/>
  <c r="EO211" i="1"/>
  <c r="EP211" i="1"/>
  <c r="EQ211" i="1"/>
  <c r="ER211" i="1"/>
  <c r="ES211" i="1"/>
  <c r="ET211" i="1"/>
  <c r="EU211" i="1"/>
  <c r="EV211" i="1"/>
  <c r="EW211" i="1"/>
  <c r="EX211" i="1"/>
  <c r="EY211" i="1"/>
  <c r="EZ211" i="1"/>
  <c r="FA211" i="1"/>
  <c r="FB211" i="1"/>
  <c r="FC211" i="1"/>
  <c r="FD211" i="1"/>
  <c r="FE211" i="1"/>
  <c r="FF211" i="1"/>
  <c r="FG211" i="1"/>
  <c r="FH211" i="1"/>
  <c r="FI211" i="1"/>
  <c r="FJ211" i="1"/>
  <c r="FK211" i="1"/>
  <c r="FL211" i="1"/>
  <c r="FM211" i="1"/>
  <c r="FN211" i="1"/>
  <c r="FO211" i="1"/>
  <c r="FP211" i="1"/>
  <c r="FQ211" i="1"/>
  <c r="FR211" i="1"/>
  <c r="FS211" i="1"/>
  <c r="FT211" i="1"/>
  <c r="FU211" i="1"/>
  <c r="FV211" i="1"/>
  <c r="FW211" i="1"/>
  <c r="FX211" i="1"/>
  <c r="FY211" i="1"/>
  <c r="FZ211" i="1"/>
  <c r="GA211" i="1"/>
  <c r="GB211" i="1"/>
  <c r="GC211" i="1"/>
  <c r="GD211" i="1"/>
  <c r="GE211" i="1"/>
  <c r="GF211" i="1"/>
  <c r="GG211" i="1"/>
  <c r="GH211" i="1"/>
  <c r="GI211" i="1"/>
  <c r="GJ211" i="1"/>
  <c r="GK211" i="1"/>
  <c r="GL211" i="1"/>
  <c r="GM211" i="1"/>
  <c r="GN211" i="1"/>
  <c r="GO211" i="1"/>
  <c r="GP211" i="1"/>
  <c r="GQ211" i="1"/>
  <c r="GR211" i="1"/>
  <c r="GS211" i="1"/>
  <c r="GT211" i="1"/>
  <c r="GU211" i="1"/>
  <c r="GV211" i="1"/>
  <c r="GW211" i="1"/>
  <c r="GX211" i="1"/>
  <c r="D213" i="1"/>
  <c r="E215" i="1"/>
  <c r="Z215" i="1"/>
  <c r="AA215" i="1"/>
  <c r="AM215" i="1"/>
  <c r="AN215" i="1"/>
  <c r="BE215" i="1"/>
  <c r="BF215" i="1"/>
  <c r="BG215" i="1"/>
  <c r="BH215" i="1"/>
  <c r="BI215" i="1"/>
  <c r="BJ215" i="1"/>
  <c r="BK215" i="1"/>
  <c r="BL215" i="1"/>
  <c r="BM215" i="1"/>
  <c r="BN215" i="1"/>
  <c r="BO215" i="1"/>
  <c r="BP215" i="1"/>
  <c r="BQ215" i="1"/>
  <c r="BR215" i="1"/>
  <c r="BS215" i="1"/>
  <c r="BT215" i="1"/>
  <c r="BU215" i="1"/>
  <c r="BV215" i="1"/>
  <c r="BW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EG215" i="1"/>
  <c r="EH215" i="1"/>
  <c r="EI215" i="1"/>
  <c r="EJ215" i="1"/>
  <c r="EK215" i="1"/>
  <c r="EL215" i="1"/>
  <c r="EM215" i="1"/>
  <c r="EN215" i="1"/>
  <c r="EO215" i="1"/>
  <c r="EP215" i="1"/>
  <c r="EQ215" i="1"/>
  <c r="ER215" i="1"/>
  <c r="ES215" i="1"/>
  <c r="ET215" i="1"/>
  <c r="EU215" i="1"/>
  <c r="EV215" i="1"/>
  <c r="EW215" i="1"/>
  <c r="EX215" i="1"/>
  <c r="EY215" i="1"/>
  <c r="EZ215" i="1"/>
  <c r="FA215" i="1"/>
  <c r="FB215" i="1"/>
  <c r="FC215" i="1"/>
  <c r="FD215" i="1"/>
  <c r="FE215" i="1"/>
  <c r="FF215" i="1"/>
  <c r="FG215" i="1"/>
  <c r="FH215" i="1"/>
  <c r="FI215" i="1"/>
  <c r="FJ215" i="1"/>
  <c r="FK215" i="1"/>
  <c r="FL215" i="1"/>
  <c r="FM215" i="1"/>
  <c r="FN215" i="1"/>
  <c r="FO215" i="1"/>
  <c r="FP215" i="1"/>
  <c r="FQ215" i="1"/>
  <c r="FR215" i="1"/>
  <c r="FS215" i="1"/>
  <c r="FT215" i="1"/>
  <c r="FU215" i="1"/>
  <c r="FV215" i="1"/>
  <c r="FW215" i="1"/>
  <c r="FX215" i="1"/>
  <c r="FY215" i="1"/>
  <c r="FZ215" i="1"/>
  <c r="GA215" i="1"/>
  <c r="GB215" i="1"/>
  <c r="GC215" i="1"/>
  <c r="GD215" i="1"/>
  <c r="GE215" i="1"/>
  <c r="GF215" i="1"/>
  <c r="GG215" i="1"/>
  <c r="GH215" i="1"/>
  <c r="GI215" i="1"/>
  <c r="GJ215" i="1"/>
  <c r="GK215" i="1"/>
  <c r="GL215" i="1"/>
  <c r="GM215" i="1"/>
  <c r="GN215" i="1"/>
  <c r="GO215" i="1"/>
  <c r="GP215" i="1"/>
  <c r="GQ215" i="1"/>
  <c r="GR215" i="1"/>
  <c r="GS215" i="1"/>
  <c r="GT215" i="1"/>
  <c r="GU215" i="1"/>
  <c r="GV215" i="1"/>
  <c r="GW215" i="1"/>
  <c r="GX215" i="1"/>
  <c r="D217" i="1"/>
  <c r="I217" i="1"/>
  <c r="K217" i="1"/>
  <c r="AC217" i="1"/>
  <c r="AE217" i="1"/>
  <c r="AF217" i="1"/>
  <c r="AG217" i="1"/>
  <c r="CU217" i="1" s="1"/>
  <c r="T217" i="1" s="1"/>
  <c r="AH217" i="1"/>
  <c r="CV217" i="1" s="1"/>
  <c r="AI217" i="1"/>
  <c r="CW217" i="1" s="1"/>
  <c r="AJ217" i="1"/>
  <c r="CX217" i="1" s="1"/>
  <c r="CQ217" i="1"/>
  <c r="P217" i="1" s="1"/>
  <c r="CS217" i="1"/>
  <c r="CT217" i="1"/>
  <c r="S217" i="1" s="1"/>
  <c r="FR217" i="1"/>
  <c r="GL217" i="1"/>
  <c r="GN217" i="1"/>
  <c r="GO217" i="1"/>
  <c r="GV217" i="1"/>
  <c r="HC217" i="1"/>
  <c r="D218" i="1"/>
  <c r="I218" i="1"/>
  <c r="K218" i="1"/>
  <c r="T218" i="1"/>
  <c r="U218" i="1"/>
  <c r="AC218" i="1"/>
  <c r="CQ218" i="1" s="1"/>
  <c r="P218" i="1" s="1"/>
  <c r="AE218" i="1"/>
  <c r="AD218" i="1" s="1"/>
  <c r="AB218" i="1" s="1"/>
  <c r="AF218" i="1"/>
  <c r="CT218" i="1" s="1"/>
  <c r="S218" i="1" s="1"/>
  <c r="AG218" i="1"/>
  <c r="CU218" i="1" s="1"/>
  <c r="AH218" i="1"/>
  <c r="CV218" i="1" s="1"/>
  <c r="AI218" i="1"/>
  <c r="AJ218" i="1"/>
  <c r="CX218" i="1" s="1"/>
  <c r="W218" i="1" s="1"/>
  <c r="CR218" i="1"/>
  <c r="Q218" i="1" s="1"/>
  <c r="CS218" i="1"/>
  <c r="R218" i="1" s="1"/>
  <c r="GK218" i="1" s="1"/>
  <c r="CW218" i="1"/>
  <c r="V218" i="1" s="1"/>
  <c r="FR218" i="1"/>
  <c r="GL218" i="1"/>
  <c r="GN218" i="1"/>
  <c r="GO218" i="1"/>
  <c r="GV218" i="1"/>
  <c r="HC218" i="1"/>
  <c r="GX218" i="1" s="1"/>
  <c r="D219" i="1"/>
  <c r="I219" i="1"/>
  <c r="K219" i="1"/>
  <c r="AC219" i="1"/>
  <c r="CQ219" i="1" s="1"/>
  <c r="P219" i="1" s="1"/>
  <c r="AE219" i="1"/>
  <c r="CR219" i="1" s="1"/>
  <c r="Q219" i="1" s="1"/>
  <c r="AF219" i="1"/>
  <c r="AG219" i="1"/>
  <c r="CU219" i="1" s="1"/>
  <c r="T219" i="1" s="1"/>
  <c r="AH219" i="1"/>
  <c r="CV219" i="1" s="1"/>
  <c r="U219" i="1" s="1"/>
  <c r="AI219" i="1"/>
  <c r="CW219" i="1" s="1"/>
  <c r="V219" i="1" s="1"/>
  <c r="AJ219" i="1"/>
  <c r="CX219" i="1" s="1"/>
  <c r="W219" i="1" s="1"/>
  <c r="FR219" i="1"/>
  <c r="GL219" i="1"/>
  <c r="GN219" i="1"/>
  <c r="GO219" i="1"/>
  <c r="GV219" i="1"/>
  <c r="HC219" i="1" s="1"/>
  <c r="GX219" i="1" s="1"/>
  <c r="D220" i="1"/>
  <c r="I220" i="1"/>
  <c r="K220" i="1"/>
  <c r="AC220" i="1"/>
  <c r="AE220" i="1"/>
  <c r="AF220" i="1"/>
  <c r="CT220" i="1" s="1"/>
  <c r="S220" i="1" s="1"/>
  <c r="AG220" i="1"/>
  <c r="CU220" i="1" s="1"/>
  <c r="T220" i="1" s="1"/>
  <c r="AH220" i="1"/>
  <c r="CV220" i="1" s="1"/>
  <c r="U220" i="1" s="1"/>
  <c r="AI220" i="1"/>
  <c r="CW220" i="1" s="1"/>
  <c r="V220" i="1" s="1"/>
  <c r="AJ220" i="1"/>
  <c r="CX220" i="1" s="1"/>
  <c r="W220" i="1" s="1"/>
  <c r="CQ220" i="1"/>
  <c r="P220" i="1" s="1"/>
  <c r="FR220" i="1"/>
  <c r="GL220" i="1"/>
  <c r="GN220" i="1"/>
  <c r="GO220" i="1"/>
  <c r="GV220" i="1"/>
  <c r="HC220" i="1" s="1"/>
  <c r="GX220" i="1"/>
  <c r="D221" i="1"/>
  <c r="U221" i="1"/>
  <c r="W221" i="1"/>
  <c r="AC221" i="1"/>
  <c r="AD221" i="1"/>
  <c r="AB221" i="1" s="1"/>
  <c r="AE221" i="1"/>
  <c r="CS221" i="1" s="1"/>
  <c r="R221" i="1" s="1"/>
  <c r="GK221" i="1" s="1"/>
  <c r="AF221" i="1"/>
  <c r="AG221" i="1"/>
  <c r="AH221" i="1"/>
  <c r="CV221" i="1" s="1"/>
  <c r="AI221" i="1"/>
  <c r="AJ221" i="1"/>
  <c r="CX221" i="1" s="1"/>
  <c r="CQ221" i="1"/>
  <c r="P221" i="1" s="1"/>
  <c r="CR221" i="1"/>
  <c r="Q221" i="1" s="1"/>
  <c r="CT221" i="1"/>
  <c r="S221" i="1" s="1"/>
  <c r="CU221" i="1"/>
  <c r="T221" i="1" s="1"/>
  <c r="CW221" i="1"/>
  <c r="V221" i="1" s="1"/>
  <c r="FR221" i="1"/>
  <c r="GL221" i="1"/>
  <c r="GN221" i="1"/>
  <c r="GO221" i="1"/>
  <c r="GV221" i="1"/>
  <c r="HC221" i="1" s="1"/>
  <c r="GX221" i="1" s="1"/>
  <c r="D222" i="1"/>
  <c r="AC222" i="1"/>
  <c r="CQ222" i="1" s="1"/>
  <c r="P222" i="1" s="1"/>
  <c r="AE222" i="1"/>
  <c r="AF222" i="1"/>
  <c r="AG222" i="1"/>
  <c r="CU222" i="1" s="1"/>
  <c r="T222" i="1" s="1"/>
  <c r="AH222" i="1"/>
  <c r="CV222" i="1" s="1"/>
  <c r="U222" i="1" s="1"/>
  <c r="AI222" i="1"/>
  <c r="AJ222" i="1"/>
  <c r="CX222" i="1" s="1"/>
  <c r="W222" i="1" s="1"/>
  <c r="CT222" i="1"/>
  <c r="S222" i="1" s="1"/>
  <c r="CY222" i="1" s="1"/>
  <c r="X222" i="1" s="1"/>
  <c r="CW222" i="1"/>
  <c r="V222" i="1" s="1"/>
  <c r="CZ222" i="1"/>
  <c r="Y222" i="1" s="1"/>
  <c r="FR222" i="1"/>
  <c r="GL222" i="1"/>
  <c r="GN222" i="1"/>
  <c r="GO222" i="1"/>
  <c r="GV222" i="1"/>
  <c r="HC222" i="1"/>
  <c r="GX222" i="1" s="1"/>
  <c r="D223" i="1"/>
  <c r="I223" i="1"/>
  <c r="K223" i="1"/>
  <c r="AC223" i="1"/>
  <c r="AE223" i="1"/>
  <c r="AF223" i="1"/>
  <c r="CT223" i="1" s="1"/>
  <c r="S223" i="1" s="1"/>
  <c r="AG223" i="1"/>
  <c r="CU223" i="1" s="1"/>
  <c r="T223" i="1" s="1"/>
  <c r="AH223" i="1"/>
  <c r="CV223" i="1" s="1"/>
  <c r="U223" i="1" s="1"/>
  <c r="AI223" i="1"/>
  <c r="CW223" i="1" s="1"/>
  <c r="V223" i="1" s="1"/>
  <c r="AJ223" i="1"/>
  <c r="CX223" i="1" s="1"/>
  <c r="W223" i="1" s="1"/>
  <c r="FR223" i="1"/>
  <c r="GL223" i="1"/>
  <c r="GN223" i="1"/>
  <c r="GO223" i="1"/>
  <c r="GV223" i="1"/>
  <c r="HC223" i="1"/>
  <c r="GX223" i="1" s="1"/>
  <c r="D224" i="1"/>
  <c r="I224" i="1"/>
  <c r="K224" i="1"/>
  <c r="AC224" i="1"/>
  <c r="AE224" i="1"/>
  <c r="CR224" i="1" s="1"/>
  <c r="Q224" i="1" s="1"/>
  <c r="AF224" i="1"/>
  <c r="AG224" i="1"/>
  <c r="CU224" i="1" s="1"/>
  <c r="AH224" i="1"/>
  <c r="CV224" i="1" s="1"/>
  <c r="U224" i="1" s="1"/>
  <c r="AI224" i="1"/>
  <c r="CW224" i="1" s="1"/>
  <c r="V224" i="1" s="1"/>
  <c r="AJ224" i="1"/>
  <c r="CX224" i="1" s="1"/>
  <c r="W224" i="1" s="1"/>
  <c r="CS224" i="1"/>
  <c r="FR224" i="1"/>
  <c r="GL224" i="1"/>
  <c r="GN224" i="1"/>
  <c r="GO224" i="1"/>
  <c r="GV224" i="1"/>
  <c r="HC224" i="1"/>
  <c r="GX224" i="1" s="1"/>
  <c r="D225" i="1"/>
  <c r="I225" i="1"/>
  <c r="K225" i="1"/>
  <c r="AC225" i="1"/>
  <c r="AE225" i="1"/>
  <c r="AF225" i="1"/>
  <c r="AG225" i="1"/>
  <c r="CU225" i="1" s="1"/>
  <c r="AH225" i="1"/>
  <c r="AI225" i="1"/>
  <c r="AJ225" i="1"/>
  <c r="CX225" i="1" s="1"/>
  <c r="CR225" i="1"/>
  <c r="CT225" i="1"/>
  <c r="S225" i="1" s="1"/>
  <c r="CV225" i="1"/>
  <c r="CW225" i="1"/>
  <c r="FR225" i="1"/>
  <c r="GL225" i="1"/>
  <c r="GN225" i="1"/>
  <c r="GO225" i="1"/>
  <c r="GV225" i="1"/>
  <c r="HC225" i="1"/>
  <c r="D226" i="1"/>
  <c r="I226" i="1"/>
  <c r="K226" i="1"/>
  <c r="AC226" i="1"/>
  <c r="CQ226" i="1" s="1"/>
  <c r="AD226" i="1"/>
  <c r="AE226" i="1"/>
  <c r="AF226" i="1"/>
  <c r="CT226" i="1" s="1"/>
  <c r="S226" i="1" s="1"/>
  <c r="AG226" i="1"/>
  <c r="CU226" i="1" s="1"/>
  <c r="AH226" i="1"/>
  <c r="CV226" i="1" s="1"/>
  <c r="AI226" i="1"/>
  <c r="CW226" i="1" s="1"/>
  <c r="V226" i="1" s="1"/>
  <c r="AJ226" i="1"/>
  <c r="CX226" i="1" s="1"/>
  <c r="W226" i="1" s="1"/>
  <c r="FR226" i="1"/>
  <c r="GL226" i="1"/>
  <c r="GN226" i="1"/>
  <c r="GO226" i="1"/>
  <c r="GV226" i="1"/>
  <c r="HC226" i="1"/>
  <c r="GX226" i="1" s="1"/>
  <c r="D227" i="1"/>
  <c r="P227" i="1"/>
  <c r="AC227" i="1"/>
  <c r="AE227" i="1"/>
  <c r="AF227" i="1"/>
  <c r="AG227" i="1"/>
  <c r="CU227" i="1" s="1"/>
  <c r="T227" i="1" s="1"/>
  <c r="AH227" i="1"/>
  <c r="CV227" i="1" s="1"/>
  <c r="U227" i="1" s="1"/>
  <c r="AI227" i="1"/>
  <c r="CW227" i="1" s="1"/>
  <c r="V227" i="1" s="1"/>
  <c r="AJ227" i="1"/>
  <c r="CX227" i="1" s="1"/>
  <c r="W227" i="1" s="1"/>
  <c r="CQ227" i="1"/>
  <c r="CT227" i="1"/>
  <c r="S227" i="1" s="1"/>
  <c r="CY227" i="1" s="1"/>
  <c r="X227" i="1" s="1"/>
  <c r="FR227" i="1"/>
  <c r="GL227" i="1"/>
  <c r="GN227" i="1"/>
  <c r="GO227" i="1"/>
  <c r="GV227" i="1"/>
  <c r="HC227" i="1"/>
  <c r="GX227" i="1" s="1"/>
  <c r="D228" i="1"/>
  <c r="I228" i="1"/>
  <c r="K228" i="1"/>
  <c r="AC228" i="1"/>
  <c r="CQ228" i="1" s="1"/>
  <c r="P228" i="1" s="1"/>
  <c r="AD228" i="1"/>
  <c r="AB228" i="1" s="1"/>
  <c r="AE228" i="1"/>
  <c r="CS228" i="1" s="1"/>
  <c r="AF228" i="1"/>
  <c r="AG228" i="1"/>
  <c r="CU228" i="1" s="1"/>
  <c r="T228" i="1" s="1"/>
  <c r="AH228" i="1"/>
  <c r="CV228" i="1" s="1"/>
  <c r="U228" i="1" s="1"/>
  <c r="AI228" i="1"/>
  <c r="CW228" i="1" s="1"/>
  <c r="V228" i="1" s="1"/>
  <c r="AJ228" i="1"/>
  <c r="CR228" i="1"/>
  <c r="Q228" i="1" s="1"/>
  <c r="CT228" i="1"/>
  <c r="S228" i="1" s="1"/>
  <c r="CZ228" i="1" s="1"/>
  <c r="Y228" i="1" s="1"/>
  <c r="CX228" i="1"/>
  <c r="W228" i="1" s="1"/>
  <c r="FR228" i="1"/>
  <c r="GL228" i="1"/>
  <c r="GN228" i="1"/>
  <c r="GO228" i="1"/>
  <c r="GV228" i="1"/>
  <c r="HC228" i="1" s="1"/>
  <c r="GX228" i="1" s="1"/>
  <c r="D229" i="1"/>
  <c r="I229" i="1"/>
  <c r="K229" i="1"/>
  <c r="AC229" i="1"/>
  <c r="AE229" i="1"/>
  <c r="AF229" i="1"/>
  <c r="AG229" i="1"/>
  <c r="CU229" i="1" s="1"/>
  <c r="T229" i="1" s="1"/>
  <c r="AH229" i="1"/>
  <c r="CV229" i="1" s="1"/>
  <c r="U229" i="1" s="1"/>
  <c r="AI229" i="1"/>
  <c r="AJ229" i="1"/>
  <c r="CX229" i="1" s="1"/>
  <c r="W229" i="1" s="1"/>
  <c r="CW229" i="1"/>
  <c r="V229" i="1" s="1"/>
  <c r="FR229" i="1"/>
  <c r="GL229" i="1"/>
  <c r="GN229" i="1"/>
  <c r="GO229" i="1"/>
  <c r="GV229" i="1"/>
  <c r="HC229" i="1" s="1"/>
  <c r="GX229" i="1" s="1"/>
  <c r="D230" i="1"/>
  <c r="I230" i="1"/>
  <c r="T230" i="1" s="1"/>
  <c r="K230" i="1"/>
  <c r="AC230" i="1"/>
  <c r="AE230" i="1"/>
  <c r="AF230" i="1"/>
  <c r="CT230" i="1" s="1"/>
  <c r="AG230" i="1"/>
  <c r="CU230" i="1" s="1"/>
  <c r="AH230" i="1"/>
  <c r="CV230" i="1" s="1"/>
  <c r="AI230" i="1"/>
  <c r="CW230" i="1" s="1"/>
  <c r="AJ230" i="1"/>
  <c r="CX230" i="1"/>
  <c r="W230" i="1" s="1"/>
  <c r="FR230" i="1"/>
  <c r="GL230" i="1"/>
  <c r="GN230" i="1"/>
  <c r="GO230" i="1"/>
  <c r="GV230" i="1"/>
  <c r="HC230" i="1" s="1"/>
  <c r="D231" i="1"/>
  <c r="I231" i="1"/>
  <c r="K231" i="1"/>
  <c r="AC231" i="1"/>
  <c r="CQ231" i="1" s="1"/>
  <c r="P231" i="1" s="1"/>
  <c r="AE231" i="1"/>
  <c r="AF231" i="1"/>
  <c r="CT231" i="1" s="1"/>
  <c r="S231" i="1" s="1"/>
  <c r="AG231" i="1"/>
  <c r="CU231" i="1" s="1"/>
  <c r="T231" i="1" s="1"/>
  <c r="AH231" i="1"/>
  <c r="CV231" i="1" s="1"/>
  <c r="U231" i="1" s="1"/>
  <c r="AI231" i="1"/>
  <c r="CW231" i="1" s="1"/>
  <c r="V231" i="1" s="1"/>
  <c r="AJ231" i="1"/>
  <c r="CX231" i="1" s="1"/>
  <c r="W231" i="1" s="1"/>
  <c r="FR231" i="1"/>
  <c r="GL231" i="1"/>
  <c r="GN231" i="1"/>
  <c r="GO231" i="1"/>
  <c r="GV231" i="1"/>
  <c r="HC231" i="1" s="1"/>
  <c r="GX231" i="1" s="1"/>
  <c r="D232" i="1"/>
  <c r="I232" i="1"/>
  <c r="K232" i="1"/>
  <c r="AC232" i="1"/>
  <c r="AE232" i="1"/>
  <c r="CR232" i="1" s="1"/>
  <c r="Q232" i="1" s="1"/>
  <c r="AF232" i="1"/>
  <c r="CT232" i="1" s="1"/>
  <c r="AG232" i="1"/>
  <c r="CU232" i="1" s="1"/>
  <c r="AH232" i="1"/>
  <c r="CV232" i="1" s="1"/>
  <c r="U232" i="1" s="1"/>
  <c r="AI232" i="1"/>
  <c r="CW232" i="1" s="1"/>
  <c r="V232" i="1" s="1"/>
  <c r="AJ232" i="1"/>
  <c r="CX232" i="1" s="1"/>
  <c r="CQ232" i="1"/>
  <c r="P232" i="1" s="1"/>
  <c r="CS232" i="1"/>
  <c r="R232" i="1" s="1"/>
  <c r="GK232" i="1" s="1"/>
  <c r="FR232" i="1"/>
  <c r="GL232" i="1"/>
  <c r="GN232" i="1"/>
  <c r="GO232" i="1"/>
  <c r="GV232" i="1"/>
  <c r="HC232" i="1"/>
  <c r="GX232" i="1" s="1"/>
  <c r="D233" i="1"/>
  <c r="I233" i="1"/>
  <c r="K233" i="1"/>
  <c r="AC233" i="1"/>
  <c r="CQ233" i="1" s="1"/>
  <c r="P233" i="1" s="1"/>
  <c r="AE233" i="1"/>
  <c r="AF233" i="1"/>
  <c r="CT233" i="1" s="1"/>
  <c r="S233" i="1" s="1"/>
  <c r="CZ233" i="1" s="1"/>
  <c r="Y233" i="1" s="1"/>
  <c r="AG233" i="1"/>
  <c r="CU233" i="1" s="1"/>
  <c r="T233" i="1" s="1"/>
  <c r="AH233" i="1"/>
  <c r="CV233" i="1" s="1"/>
  <c r="U233" i="1" s="1"/>
  <c r="AI233" i="1"/>
  <c r="AJ233" i="1"/>
  <c r="CX233" i="1" s="1"/>
  <c r="W233" i="1" s="1"/>
  <c r="CW233" i="1"/>
  <c r="V233" i="1" s="1"/>
  <c r="FR233" i="1"/>
  <c r="GL233" i="1"/>
  <c r="GN233" i="1"/>
  <c r="GO233" i="1"/>
  <c r="GV233" i="1"/>
  <c r="HC233" i="1" s="1"/>
  <c r="GX233" i="1"/>
  <c r="D234" i="1"/>
  <c r="I234" i="1"/>
  <c r="K234" i="1"/>
  <c r="T234" i="1"/>
  <c r="AC234" i="1"/>
  <c r="AE234" i="1"/>
  <c r="CS234" i="1" s="1"/>
  <c r="AF234" i="1"/>
  <c r="AG234" i="1"/>
  <c r="CU234" i="1" s="1"/>
  <c r="AH234" i="1"/>
  <c r="CV234" i="1" s="1"/>
  <c r="U234" i="1" s="1"/>
  <c r="AI234" i="1"/>
  <c r="CW234" i="1" s="1"/>
  <c r="V234" i="1" s="1"/>
  <c r="AJ234" i="1"/>
  <c r="CX234" i="1" s="1"/>
  <c r="W234" i="1" s="1"/>
  <c r="CQ234" i="1"/>
  <c r="P234" i="1" s="1"/>
  <c r="CR234" i="1"/>
  <c r="Q234" i="1" s="1"/>
  <c r="CT234" i="1"/>
  <c r="S234" i="1" s="1"/>
  <c r="FR234" i="1"/>
  <c r="GL234" i="1"/>
  <c r="GN234" i="1"/>
  <c r="GO234" i="1"/>
  <c r="GV234" i="1"/>
  <c r="HC234" i="1" s="1"/>
  <c r="GX234" i="1" s="1"/>
  <c r="D235" i="1"/>
  <c r="I235" i="1"/>
  <c r="K235" i="1"/>
  <c r="P235" i="1"/>
  <c r="AC235" i="1"/>
  <c r="AE235" i="1"/>
  <c r="AD235" i="1" s="1"/>
  <c r="AF235" i="1"/>
  <c r="AG235" i="1"/>
  <c r="CU235" i="1" s="1"/>
  <c r="T235" i="1" s="1"/>
  <c r="AH235" i="1"/>
  <c r="AI235" i="1"/>
  <c r="CW235" i="1" s="1"/>
  <c r="V235" i="1" s="1"/>
  <c r="AJ235" i="1"/>
  <c r="CX235" i="1" s="1"/>
  <c r="W235" i="1" s="1"/>
  <c r="CQ235" i="1"/>
  <c r="CR235" i="1"/>
  <c r="Q235" i="1" s="1"/>
  <c r="CS235" i="1"/>
  <c r="R235" i="1" s="1"/>
  <c r="GK235" i="1" s="1"/>
  <c r="CT235" i="1"/>
  <c r="S235" i="1" s="1"/>
  <c r="CV235" i="1"/>
  <c r="FR235" i="1"/>
  <c r="GL235" i="1"/>
  <c r="GN235" i="1"/>
  <c r="GO235" i="1"/>
  <c r="GV235" i="1"/>
  <c r="HC235" i="1" s="1"/>
  <c r="GX235" i="1" s="1"/>
  <c r="D236" i="1"/>
  <c r="I236" i="1"/>
  <c r="K236" i="1"/>
  <c r="AC236" i="1"/>
  <c r="CQ236" i="1" s="1"/>
  <c r="AE236" i="1"/>
  <c r="CR236" i="1" s="1"/>
  <c r="AF236" i="1"/>
  <c r="CT236" i="1" s="1"/>
  <c r="S236" i="1" s="1"/>
  <c r="AG236" i="1"/>
  <c r="CU236" i="1" s="1"/>
  <c r="T236" i="1" s="1"/>
  <c r="AH236" i="1"/>
  <c r="AI236" i="1"/>
  <c r="CW236" i="1" s="1"/>
  <c r="V236" i="1" s="1"/>
  <c r="AJ236" i="1"/>
  <c r="CX236" i="1" s="1"/>
  <c r="CV236" i="1"/>
  <c r="FR236" i="1"/>
  <c r="GL236" i="1"/>
  <c r="GN236" i="1"/>
  <c r="GO236" i="1"/>
  <c r="GV236" i="1"/>
  <c r="HC236" i="1" s="1"/>
  <c r="GX236" i="1" s="1"/>
  <c r="B238" i="1"/>
  <c r="B215" i="1" s="1"/>
  <c r="C238" i="1"/>
  <c r="C215" i="1" s="1"/>
  <c r="D238" i="1"/>
  <c r="D215" i="1" s="1"/>
  <c r="F238" i="1"/>
  <c r="F215" i="1" s="1"/>
  <c r="G238" i="1"/>
  <c r="BC238" i="1"/>
  <c r="BX238" i="1"/>
  <c r="BX215" i="1" s="1"/>
  <c r="CK238" i="1"/>
  <c r="CK215" i="1" s="1"/>
  <c r="CL238" i="1"/>
  <c r="CL215" i="1" s="1"/>
  <c r="CM238" i="1"/>
  <c r="CM215" i="1" s="1"/>
  <c r="D268" i="1"/>
  <c r="E270" i="1"/>
  <c r="Z270" i="1"/>
  <c r="AA270" i="1"/>
  <c r="AM270" i="1"/>
  <c r="AN270" i="1"/>
  <c r="BE270" i="1"/>
  <c r="BF270" i="1"/>
  <c r="BG270" i="1"/>
  <c r="BH270" i="1"/>
  <c r="BI270" i="1"/>
  <c r="BJ270" i="1"/>
  <c r="BK270" i="1"/>
  <c r="BL270" i="1"/>
  <c r="BM270" i="1"/>
  <c r="BN270" i="1"/>
  <c r="BO270" i="1"/>
  <c r="BP270" i="1"/>
  <c r="BQ270" i="1"/>
  <c r="BR270" i="1"/>
  <c r="BS270" i="1"/>
  <c r="BT270" i="1"/>
  <c r="BU270" i="1"/>
  <c r="BV270" i="1"/>
  <c r="BW270" i="1"/>
  <c r="CN270" i="1"/>
  <c r="CO270" i="1"/>
  <c r="CP270" i="1"/>
  <c r="CQ270" i="1"/>
  <c r="CR270" i="1"/>
  <c r="CS270" i="1"/>
  <c r="CT270" i="1"/>
  <c r="CU270" i="1"/>
  <c r="CV270" i="1"/>
  <c r="CW270" i="1"/>
  <c r="CX270" i="1"/>
  <c r="CY270" i="1"/>
  <c r="CZ270" i="1"/>
  <c r="DA270" i="1"/>
  <c r="DB270" i="1"/>
  <c r="DC270" i="1"/>
  <c r="DD270" i="1"/>
  <c r="DE270" i="1"/>
  <c r="DF270" i="1"/>
  <c r="DG270" i="1"/>
  <c r="DH270" i="1"/>
  <c r="DI270" i="1"/>
  <c r="DJ270" i="1"/>
  <c r="DK270" i="1"/>
  <c r="DL270" i="1"/>
  <c r="DM270" i="1"/>
  <c r="DN270" i="1"/>
  <c r="DO270" i="1"/>
  <c r="DP270" i="1"/>
  <c r="DQ270" i="1"/>
  <c r="DR270" i="1"/>
  <c r="DS270" i="1"/>
  <c r="DT270" i="1"/>
  <c r="DU270" i="1"/>
  <c r="DV270" i="1"/>
  <c r="DW270" i="1"/>
  <c r="DX270" i="1"/>
  <c r="DY270" i="1"/>
  <c r="DZ270" i="1"/>
  <c r="EA270" i="1"/>
  <c r="EB270" i="1"/>
  <c r="EC270" i="1"/>
  <c r="ED270" i="1"/>
  <c r="EE270" i="1"/>
  <c r="EF270" i="1"/>
  <c r="EG270" i="1"/>
  <c r="EH270" i="1"/>
  <c r="EI270" i="1"/>
  <c r="EJ270" i="1"/>
  <c r="EK270" i="1"/>
  <c r="EL270" i="1"/>
  <c r="EM270" i="1"/>
  <c r="EN270" i="1"/>
  <c r="EO270" i="1"/>
  <c r="EP270" i="1"/>
  <c r="EQ270" i="1"/>
  <c r="ER270" i="1"/>
  <c r="ES270" i="1"/>
  <c r="ET270" i="1"/>
  <c r="EU270" i="1"/>
  <c r="EV270" i="1"/>
  <c r="EW270" i="1"/>
  <c r="EX270" i="1"/>
  <c r="EY270" i="1"/>
  <c r="EZ270" i="1"/>
  <c r="FA270" i="1"/>
  <c r="FB270" i="1"/>
  <c r="FC270" i="1"/>
  <c r="FD270" i="1"/>
  <c r="FE270" i="1"/>
  <c r="FF270" i="1"/>
  <c r="FG270" i="1"/>
  <c r="FH270" i="1"/>
  <c r="FI270" i="1"/>
  <c r="FJ270" i="1"/>
  <c r="FK270" i="1"/>
  <c r="FL270" i="1"/>
  <c r="FM270" i="1"/>
  <c r="FN270" i="1"/>
  <c r="FO270" i="1"/>
  <c r="FP270" i="1"/>
  <c r="FQ270" i="1"/>
  <c r="FR270" i="1"/>
  <c r="FS270" i="1"/>
  <c r="FT270" i="1"/>
  <c r="FU270" i="1"/>
  <c r="FV270" i="1"/>
  <c r="FW270" i="1"/>
  <c r="FX270" i="1"/>
  <c r="FY270" i="1"/>
  <c r="FZ270" i="1"/>
  <c r="GA270" i="1"/>
  <c r="GB270" i="1"/>
  <c r="GC270" i="1"/>
  <c r="GD270" i="1"/>
  <c r="GE270" i="1"/>
  <c r="GF270" i="1"/>
  <c r="GG270" i="1"/>
  <c r="GH270" i="1"/>
  <c r="GI270" i="1"/>
  <c r="GJ270" i="1"/>
  <c r="GK270" i="1"/>
  <c r="GL270" i="1"/>
  <c r="GM270" i="1"/>
  <c r="GN270" i="1"/>
  <c r="GO270" i="1"/>
  <c r="GP270" i="1"/>
  <c r="GQ270" i="1"/>
  <c r="GR270" i="1"/>
  <c r="GS270" i="1"/>
  <c r="GT270" i="1"/>
  <c r="GU270" i="1"/>
  <c r="GV270" i="1"/>
  <c r="GW270" i="1"/>
  <c r="GX270" i="1"/>
  <c r="D272" i="1"/>
  <c r="I272" i="1"/>
  <c r="K272" i="1"/>
  <c r="AC272" i="1"/>
  <c r="AE272" i="1"/>
  <c r="AF272" i="1"/>
  <c r="AG272" i="1"/>
  <c r="AH272" i="1"/>
  <c r="CV272" i="1" s="1"/>
  <c r="U272" i="1" s="1"/>
  <c r="AI272" i="1"/>
  <c r="CW272" i="1" s="1"/>
  <c r="V272" i="1" s="1"/>
  <c r="AJ272" i="1"/>
  <c r="CX272" i="1" s="1"/>
  <c r="CU272" i="1"/>
  <c r="FR272" i="1"/>
  <c r="GL272" i="1"/>
  <c r="GN272" i="1"/>
  <c r="GO272" i="1"/>
  <c r="GV272" i="1"/>
  <c r="HC272" i="1"/>
  <c r="D273" i="1"/>
  <c r="I273" i="1"/>
  <c r="K273" i="1"/>
  <c r="T273" i="1"/>
  <c r="U273" i="1"/>
  <c r="AC273" i="1"/>
  <c r="AE273" i="1"/>
  <c r="AF273" i="1"/>
  <c r="AG273" i="1"/>
  <c r="CU273" i="1" s="1"/>
  <c r="AH273" i="1"/>
  <c r="CV273" i="1" s="1"/>
  <c r="AI273" i="1"/>
  <c r="CW273" i="1" s="1"/>
  <c r="AJ273" i="1"/>
  <c r="CX273" i="1" s="1"/>
  <c r="CQ273" i="1"/>
  <c r="FR273" i="1"/>
  <c r="GL273" i="1"/>
  <c r="GN273" i="1"/>
  <c r="GO273" i="1"/>
  <c r="GV273" i="1"/>
  <c r="HC273" i="1" s="1"/>
  <c r="D274" i="1"/>
  <c r="AC274" i="1"/>
  <c r="CQ274" i="1" s="1"/>
  <c r="P274" i="1" s="1"/>
  <c r="CP274" i="1" s="1"/>
  <c r="O274" i="1" s="1"/>
  <c r="AE274" i="1"/>
  <c r="CS274" i="1" s="1"/>
  <c r="R274" i="1" s="1"/>
  <c r="GK274" i="1" s="1"/>
  <c r="AF274" i="1"/>
  <c r="CT274" i="1" s="1"/>
  <c r="S274" i="1" s="1"/>
  <c r="CY274" i="1" s="1"/>
  <c r="X274" i="1" s="1"/>
  <c r="AG274" i="1"/>
  <c r="CU274" i="1" s="1"/>
  <c r="T274" i="1" s="1"/>
  <c r="AH274" i="1"/>
  <c r="CV274" i="1" s="1"/>
  <c r="U274" i="1" s="1"/>
  <c r="AI274" i="1"/>
  <c r="AJ274" i="1"/>
  <c r="CR274" i="1"/>
  <c r="Q274" i="1" s="1"/>
  <c r="CW274" i="1"/>
  <c r="V274" i="1" s="1"/>
  <c r="CX274" i="1"/>
  <c r="W274" i="1" s="1"/>
  <c r="FR274" i="1"/>
  <c r="GL274" i="1"/>
  <c r="GN274" i="1"/>
  <c r="GO274" i="1"/>
  <c r="GV274" i="1"/>
  <c r="HC274" i="1" s="1"/>
  <c r="GX274" i="1" s="1"/>
  <c r="D275" i="1"/>
  <c r="AC275" i="1"/>
  <c r="CQ275" i="1" s="1"/>
  <c r="P275" i="1" s="1"/>
  <c r="AE275" i="1"/>
  <c r="AF275" i="1"/>
  <c r="CT275" i="1" s="1"/>
  <c r="S275" i="1" s="1"/>
  <c r="AG275" i="1"/>
  <c r="CU275" i="1" s="1"/>
  <c r="T275" i="1" s="1"/>
  <c r="AH275" i="1"/>
  <c r="CV275" i="1" s="1"/>
  <c r="U275" i="1" s="1"/>
  <c r="AI275" i="1"/>
  <c r="CW275" i="1" s="1"/>
  <c r="V275" i="1" s="1"/>
  <c r="AJ275" i="1"/>
  <c r="CX275" i="1" s="1"/>
  <c r="W275" i="1" s="1"/>
  <c r="FR275" i="1"/>
  <c r="GL275" i="1"/>
  <c r="GN275" i="1"/>
  <c r="GO275" i="1"/>
  <c r="GV275" i="1"/>
  <c r="HC275" i="1"/>
  <c r="GX275" i="1" s="1"/>
  <c r="D276" i="1"/>
  <c r="P276" i="1"/>
  <c r="W276" i="1"/>
  <c r="AC276" i="1"/>
  <c r="AE276" i="1"/>
  <c r="AF276" i="1"/>
  <c r="AG276" i="1"/>
  <c r="CU276" i="1" s="1"/>
  <c r="T276" i="1" s="1"/>
  <c r="AH276" i="1"/>
  <c r="AI276" i="1"/>
  <c r="AJ276" i="1"/>
  <c r="CX276" i="1" s="1"/>
  <c r="CQ276" i="1"/>
  <c r="CS276" i="1"/>
  <c r="CV276" i="1"/>
  <c r="U276" i="1" s="1"/>
  <c r="CW276" i="1"/>
  <c r="V276" i="1" s="1"/>
  <c r="FR276" i="1"/>
  <c r="GL276" i="1"/>
  <c r="GN276" i="1"/>
  <c r="GO276" i="1"/>
  <c r="GV276" i="1"/>
  <c r="HC276" i="1" s="1"/>
  <c r="GX276" i="1" s="1"/>
  <c r="D277" i="1"/>
  <c r="I277" i="1"/>
  <c r="V277" i="1" s="1"/>
  <c r="K277" i="1"/>
  <c r="U277" i="1"/>
  <c r="AC277" i="1"/>
  <c r="AE277" i="1"/>
  <c r="AF277" i="1"/>
  <c r="AG277" i="1"/>
  <c r="AH277" i="1"/>
  <c r="AI277" i="1"/>
  <c r="AJ277" i="1"/>
  <c r="CR277" i="1"/>
  <c r="Q277" i="1" s="1"/>
  <c r="CU277" i="1"/>
  <c r="T277" i="1" s="1"/>
  <c r="CV277" i="1"/>
  <c r="CW277" i="1"/>
  <c r="CX277" i="1"/>
  <c r="W277" i="1" s="1"/>
  <c r="FR277" i="1"/>
  <c r="BY279" i="1" s="1"/>
  <c r="AP279" i="1" s="1"/>
  <c r="GL277" i="1"/>
  <c r="GN277" i="1"/>
  <c r="GO277" i="1"/>
  <c r="GV277" i="1"/>
  <c r="HC277" i="1" s="1"/>
  <c r="B279" i="1"/>
  <c r="B270" i="1" s="1"/>
  <c r="C279" i="1"/>
  <c r="C270" i="1" s="1"/>
  <c r="D279" i="1"/>
  <c r="D270" i="1" s="1"/>
  <c r="F279" i="1"/>
  <c r="F270" i="1" s="1"/>
  <c r="G279" i="1"/>
  <c r="AO279" i="1"/>
  <c r="F283" i="1" s="1"/>
  <c r="BB279" i="1"/>
  <c r="BD279" i="1"/>
  <c r="BX279" i="1"/>
  <c r="BX270" i="1" s="1"/>
  <c r="CK279" i="1"/>
  <c r="CK270" i="1" s="1"/>
  <c r="CL279" i="1"/>
  <c r="CM279" i="1"/>
  <c r="CM270" i="1" s="1"/>
  <c r="D309" i="1"/>
  <c r="E311" i="1"/>
  <c r="Z311" i="1"/>
  <c r="AA311" i="1"/>
  <c r="AM311" i="1"/>
  <c r="AN311" i="1"/>
  <c r="BE311" i="1"/>
  <c r="BF311" i="1"/>
  <c r="BG311" i="1"/>
  <c r="BH311" i="1"/>
  <c r="BI311" i="1"/>
  <c r="BJ311" i="1"/>
  <c r="BK311" i="1"/>
  <c r="BL311" i="1"/>
  <c r="BM311" i="1"/>
  <c r="BN311" i="1"/>
  <c r="BO311" i="1"/>
  <c r="BP311" i="1"/>
  <c r="BQ311" i="1"/>
  <c r="BR311" i="1"/>
  <c r="BS311" i="1"/>
  <c r="BT311" i="1"/>
  <c r="BU311" i="1"/>
  <c r="BV311" i="1"/>
  <c r="BW311" i="1"/>
  <c r="CL311" i="1"/>
  <c r="CN311" i="1"/>
  <c r="CO311" i="1"/>
  <c r="CP311" i="1"/>
  <c r="CQ311" i="1"/>
  <c r="CR311" i="1"/>
  <c r="CS311" i="1"/>
  <c r="CT311" i="1"/>
  <c r="CU311" i="1"/>
  <c r="CV311" i="1"/>
  <c r="CW311" i="1"/>
  <c r="CX311" i="1"/>
  <c r="CY311" i="1"/>
  <c r="CZ311" i="1"/>
  <c r="DA311" i="1"/>
  <c r="DB311" i="1"/>
  <c r="DC311" i="1"/>
  <c r="DD311" i="1"/>
  <c r="DE311" i="1"/>
  <c r="DF311" i="1"/>
  <c r="DG311" i="1"/>
  <c r="DH311" i="1"/>
  <c r="DI311" i="1"/>
  <c r="DJ311" i="1"/>
  <c r="DK311" i="1"/>
  <c r="DL311" i="1"/>
  <c r="DM311" i="1"/>
  <c r="DN311" i="1"/>
  <c r="DO311" i="1"/>
  <c r="DP311" i="1"/>
  <c r="DQ311" i="1"/>
  <c r="DR311" i="1"/>
  <c r="DS311" i="1"/>
  <c r="DT311" i="1"/>
  <c r="DU311" i="1"/>
  <c r="DV311" i="1"/>
  <c r="DW311" i="1"/>
  <c r="DX311" i="1"/>
  <c r="DY311" i="1"/>
  <c r="DZ311" i="1"/>
  <c r="EA311" i="1"/>
  <c r="EB311" i="1"/>
  <c r="EC311" i="1"/>
  <c r="ED311" i="1"/>
  <c r="EE311" i="1"/>
  <c r="EF311" i="1"/>
  <c r="EG311" i="1"/>
  <c r="EH311" i="1"/>
  <c r="EI311" i="1"/>
  <c r="EJ311" i="1"/>
  <c r="EK311" i="1"/>
  <c r="EL311" i="1"/>
  <c r="EM311" i="1"/>
  <c r="EN311" i="1"/>
  <c r="EO311" i="1"/>
  <c r="EP311" i="1"/>
  <c r="EQ311" i="1"/>
  <c r="ER311" i="1"/>
  <c r="ES311" i="1"/>
  <c r="ET311" i="1"/>
  <c r="EU311" i="1"/>
  <c r="EV311" i="1"/>
  <c r="EW311" i="1"/>
  <c r="EX311" i="1"/>
  <c r="EY311" i="1"/>
  <c r="EZ311" i="1"/>
  <c r="FA311" i="1"/>
  <c r="FB311" i="1"/>
  <c r="FC311" i="1"/>
  <c r="FD311" i="1"/>
  <c r="FE311" i="1"/>
  <c r="FF311" i="1"/>
  <c r="FG311" i="1"/>
  <c r="FH311" i="1"/>
  <c r="FI311" i="1"/>
  <c r="FJ311" i="1"/>
  <c r="FK311" i="1"/>
  <c r="FL311" i="1"/>
  <c r="FM311" i="1"/>
  <c r="FN311" i="1"/>
  <c r="FO311" i="1"/>
  <c r="FP311" i="1"/>
  <c r="FQ311" i="1"/>
  <c r="FR311" i="1"/>
  <c r="FS311" i="1"/>
  <c r="FT311" i="1"/>
  <c r="FU311" i="1"/>
  <c r="FV311" i="1"/>
  <c r="FW311" i="1"/>
  <c r="FX311" i="1"/>
  <c r="FY311" i="1"/>
  <c r="FZ311" i="1"/>
  <c r="GA311" i="1"/>
  <c r="GB311" i="1"/>
  <c r="GC311" i="1"/>
  <c r="GD311" i="1"/>
  <c r="GE311" i="1"/>
  <c r="GF311" i="1"/>
  <c r="GG311" i="1"/>
  <c r="GH311" i="1"/>
  <c r="GI311" i="1"/>
  <c r="GJ311" i="1"/>
  <c r="GK311" i="1"/>
  <c r="GL311" i="1"/>
  <c r="GM311" i="1"/>
  <c r="GN311" i="1"/>
  <c r="GO311" i="1"/>
  <c r="GP311" i="1"/>
  <c r="GQ311" i="1"/>
  <c r="GR311" i="1"/>
  <c r="GS311" i="1"/>
  <c r="GT311" i="1"/>
  <c r="GU311" i="1"/>
  <c r="GV311" i="1"/>
  <c r="GW311" i="1"/>
  <c r="GX311" i="1"/>
  <c r="D313" i="1"/>
  <c r="AC313" i="1"/>
  <c r="AE313" i="1"/>
  <c r="AF313" i="1"/>
  <c r="AG313" i="1"/>
  <c r="CU313" i="1" s="1"/>
  <c r="T313" i="1" s="1"/>
  <c r="AH313" i="1"/>
  <c r="AI313" i="1"/>
  <c r="CW313" i="1" s="1"/>
  <c r="V313" i="1" s="1"/>
  <c r="AJ313" i="1"/>
  <c r="CX313" i="1" s="1"/>
  <c r="W313" i="1" s="1"/>
  <c r="CV313" i="1"/>
  <c r="U313" i="1" s="1"/>
  <c r="FR313" i="1"/>
  <c r="GL313" i="1"/>
  <c r="GN313" i="1"/>
  <c r="GO313" i="1"/>
  <c r="GV313" i="1"/>
  <c r="HC313" i="1" s="1"/>
  <c r="GX313" i="1" s="1"/>
  <c r="D314" i="1"/>
  <c r="U314" i="1"/>
  <c r="AC314" i="1"/>
  <c r="CQ314" i="1" s="1"/>
  <c r="P314" i="1" s="1"/>
  <c r="AE314" i="1"/>
  <c r="AF314" i="1"/>
  <c r="CT314" i="1" s="1"/>
  <c r="S314" i="1" s="1"/>
  <c r="AG314" i="1"/>
  <c r="CU314" i="1" s="1"/>
  <c r="T314" i="1" s="1"/>
  <c r="AH314" i="1"/>
  <c r="CV314" i="1" s="1"/>
  <c r="AI314" i="1"/>
  <c r="AJ314" i="1"/>
  <c r="CX314" i="1" s="1"/>
  <c r="W314" i="1" s="1"/>
  <c r="CW314" i="1"/>
  <c r="V314" i="1" s="1"/>
  <c r="FR314" i="1"/>
  <c r="GL314" i="1"/>
  <c r="GN314" i="1"/>
  <c r="GO314" i="1"/>
  <c r="GV314" i="1"/>
  <c r="HC314" i="1" s="1"/>
  <c r="GX314" i="1" s="1"/>
  <c r="D315" i="1"/>
  <c r="I315" i="1"/>
  <c r="K315" i="1"/>
  <c r="AC315" i="1"/>
  <c r="CQ315" i="1" s="1"/>
  <c r="P315" i="1" s="1"/>
  <c r="AE315" i="1"/>
  <c r="CS315" i="1" s="1"/>
  <c r="R315" i="1" s="1"/>
  <c r="GK315" i="1" s="1"/>
  <c r="AF315" i="1"/>
  <c r="CT315" i="1" s="1"/>
  <c r="S315" i="1" s="1"/>
  <c r="AG315" i="1"/>
  <c r="CU315" i="1" s="1"/>
  <c r="AH315" i="1"/>
  <c r="CV315" i="1" s="1"/>
  <c r="U315" i="1" s="1"/>
  <c r="AI315" i="1"/>
  <c r="CW315" i="1" s="1"/>
  <c r="V315" i="1" s="1"/>
  <c r="AJ315" i="1"/>
  <c r="CX315" i="1" s="1"/>
  <c r="W315" i="1" s="1"/>
  <c r="FR315" i="1"/>
  <c r="GL315" i="1"/>
  <c r="GN315" i="1"/>
  <c r="GO315" i="1"/>
  <c r="GV315" i="1"/>
  <c r="HC315" i="1"/>
  <c r="GX315" i="1" s="1"/>
  <c r="D316" i="1"/>
  <c r="I316" i="1"/>
  <c r="K316" i="1"/>
  <c r="AC316" i="1"/>
  <c r="AE316" i="1"/>
  <c r="CR316" i="1" s="1"/>
  <c r="AF316" i="1"/>
  <c r="AG316" i="1"/>
  <c r="CU316" i="1" s="1"/>
  <c r="T316" i="1" s="1"/>
  <c r="AH316" i="1"/>
  <c r="CV316" i="1" s="1"/>
  <c r="U316" i="1" s="1"/>
  <c r="AI316" i="1"/>
  <c r="CW316" i="1" s="1"/>
  <c r="V316" i="1" s="1"/>
  <c r="AJ316" i="1"/>
  <c r="CX316" i="1" s="1"/>
  <c r="W316" i="1" s="1"/>
  <c r="CS316" i="1"/>
  <c r="FR316" i="1"/>
  <c r="GL316" i="1"/>
  <c r="GN316" i="1"/>
  <c r="GO316" i="1"/>
  <c r="CC339" i="1" s="1"/>
  <c r="GV316" i="1"/>
  <c r="HC316" i="1"/>
  <c r="D317" i="1"/>
  <c r="I317" i="1"/>
  <c r="K317" i="1"/>
  <c r="AC317" i="1"/>
  <c r="CQ317" i="1" s="1"/>
  <c r="AE317" i="1"/>
  <c r="AF317" i="1"/>
  <c r="AG317" i="1"/>
  <c r="CU317" i="1" s="1"/>
  <c r="AH317" i="1"/>
  <c r="AI317" i="1"/>
  <c r="CW317" i="1" s="1"/>
  <c r="V317" i="1" s="1"/>
  <c r="AJ317" i="1"/>
  <c r="CX317" i="1" s="1"/>
  <c r="W317" i="1" s="1"/>
  <c r="CT317" i="1"/>
  <c r="S317" i="1" s="1"/>
  <c r="CY317" i="1" s="1"/>
  <c r="X317" i="1" s="1"/>
  <c r="CV317" i="1"/>
  <c r="U317" i="1" s="1"/>
  <c r="FR317" i="1"/>
  <c r="GL317" i="1"/>
  <c r="GN317" i="1"/>
  <c r="GO317" i="1"/>
  <c r="GV317" i="1"/>
  <c r="HC317" i="1" s="1"/>
  <c r="GX317" i="1" s="1"/>
  <c r="D318" i="1"/>
  <c r="I318" i="1"/>
  <c r="W318" i="1" s="1"/>
  <c r="K318" i="1"/>
  <c r="AC318" i="1"/>
  <c r="CQ318" i="1" s="1"/>
  <c r="AE318" i="1"/>
  <c r="AF318" i="1"/>
  <c r="AG318" i="1"/>
  <c r="AH318" i="1"/>
  <c r="AI318" i="1"/>
  <c r="CW318" i="1" s="1"/>
  <c r="V318" i="1" s="1"/>
  <c r="AJ318" i="1"/>
  <c r="CR318" i="1"/>
  <c r="Q318" i="1" s="1"/>
  <c r="CU318" i="1"/>
  <c r="CV318" i="1"/>
  <c r="CX318" i="1"/>
  <c r="FR318" i="1"/>
  <c r="GL318" i="1"/>
  <c r="GN318" i="1"/>
  <c r="GO318" i="1"/>
  <c r="GV318" i="1"/>
  <c r="HC318" i="1"/>
  <c r="GX318" i="1" s="1"/>
  <c r="D319" i="1"/>
  <c r="I319" i="1"/>
  <c r="K319" i="1"/>
  <c r="AC319" i="1"/>
  <c r="CQ319" i="1" s="1"/>
  <c r="AE319" i="1"/>
  <c r="AF319" i="1"/>
  <c r="AG319" i="1"/>
  <c r="CU319" i="1" s="1"/>
  <c r="AH319" i="1"/>
  <c r="AI319" i="1"/>
  <c r="AJ319" i="1"/>
  <c r="CX319" i="1" s="1"/>
  <c r="W319" i="1" s="1"/>
  <c r="CR319" i="1"/>
  <c r="Q319" i="1" s="1"/>
  <c r="CV319" i="1"/>
  <c r="U319" i="1" s="1"/>
  <c r="CW319" i="1"/>
  <c r="FR319" i="1"/>
  <c r="GL319" i="1"/>
  <c r="GN319" i="1"/>
  <c r="GO319" i="1"/>
  <c r="GV319" i="1"/>
  <c r="HC319" i="1"/>
  <c r="D320" i="1"/>
  <c r="I320" i="1"/>
  <c r="Q320" i="1" s="1"/>
  <c r="K320" i="1"/>
  <c r="AC320" i="1"/>
  <c r="AE320" i="1"/>
  <c r="AD320" i="1" s="1"/>
  <c r="AF320" i="1"/>
  <c r="CT320" i="1" s="1"/>
  <c r="AG320" i="1"/>
  <c r="CU320" i="1" s="1"/>
  <c r="AH320" i="1"/>
  <c r="CV320" i="1" s="1"/>
  <c r="U320" i="1" s="1"/>
  <c r="AI320" i="1"/>
  <c r="CW320" i="1" s="1"/>
  <c r="AJ320" i="1"/>
  <c r="CX320" i="1" s="1"/>
  <c r="CR320" i="1"/>
  <c r="FR320" i="1"/>
  <c r="GL320" i="1"/>
  <c r="GN320" i="1"/>
  <c r="GO320" i="1"/>
  <c r="GV320" i="1"/>
  <c r="HC320" i="1"/>
  <c r="D321" i="1"/>
  <c r="I321" i="1"/>
  <c r="K321" i="1"/>
  <c r="AC321" i="1"/>
  <c r="CQ321" i="1" s="1"/>
  <c r="AE321" i="1"/>
  <c r="AF321" i="1"/>
  <c r="CT321" i="1" s="1"/>
  <c r="AG321" i="1"/>
  <c r="CU321" i="1" s="1"/>
  <c r="AH321" i="1"/>
  <c r="CV321" i="1" s="1"/>
  <c r="AI321" i="1"/>
  <c r="CW321" i="1" s="1"/>
  <c r="AJ321" i="1"/>
  <c r="CX321" i="1" s="1"/>
  <c r="W321" i="1" s="1"/>
  <c r="FR321" i="1"/>
  <c r="GL321" i="1"/>
  <c r="GN321" i="1"/>
  <c r="GO321" i="1"/>
  <c r="GV321" i="1"/>
  <c r="HC321" i="1"/>
  <c r="D322" i="1"/>
  <c r="I322" i="1"/>
  <c r="V322" i="1" s="1"/>
  <c r="K322" i="1"/>
  <c r="AB322" i="1"/>
  <c r="AC322" i="1"/>
  <c r="CQ322" i="1" s="1"/>
  <c r="AE322" i="1"/>
  <c r="AD322" i="1" s="1"/>
  <c r="AF322" i="1"/>
  <c r="AG322" i="1"/>
  <c r="AH322" i="1"/>
  <c r="AI322" i="1"/>
  <c r="AJ322" i="1"/>
  <c r="CX322" i="1" s="1"/>
  <c r="W322" i="1" s="1"/>
  <c r="CR322" i="1"/>
  <c r="CT322" i="1"/>
  <c r="S322" i="1" s="1"/>
  <c r="CZ322" i="1" s="1"/>
  <c r="Y322" i="1" s="1"/>
  <c r="CU322" i="1"/>
  <c r="CV322" i="1"/>
  <c r="U322" i="1" s="1"/>
  <c r="CW322" i="1"/>
  <c r="FR322" i="1"/>
  <c r="GL322" i="1"/>
  <c r="GN322" i="1"/>
  <c r="GO322" i="1"/>
  <c r="GV322" i="1"/>
  <c r="HC322" i="1" s="1"/>
  <c r="GX322" i="1" s="1"/>
  <c r="D323" i="1"/>
  <c r="S323" i="1"/>
  <c r="T323" i="1"/>
  <c r="AC323" i="1"/>
  <c r="AE323" i="1"/>
  <c r="CS323" i="1" s="1"/>
  <c r="R323" i="1" s="1"/>
  <c r="GK323" i="1" s="1"/>
  <c r="AF323" i="1"/>
  <c r="AG323" i="1"/>
  <c r="CU323" i="1" s="1"/>
  <c r="AH323" i="1"/>
  <c r="CV323" i="1" s="1"/>
  <c r="U323" i="1" s="1"/>
  <c r="AI323" i="1"/>
  <c r="CW323" i="1" s="1"/>
  <c r="V323" i="1" s="1"/>
  <c r="AJ323" i="1"/>
  <c r="CQ323" i="1"/>
  <c r="P323" i="1" s="1"/>
  <c r="CR323" i="1"/>
  <c r="Q323" i="1" s="1"/>
  <c r="CT323" i="1"/>
  <c r="CX323" i="1"/>
  <c r="W323" i="1" s="1"/>
  <c r="FR323" i="1"/>
  <c r="GL323" i="1"/>
  <c r="GN323" i="1"/>
  <c r="GO323" i="1"/>
  <c r="GV323" i="1"/>
  <c r="HC323" i="1" s="1"/>
  <c r="GX323" i="1" s="1"/>
  <c r="D324" i="1"/>
  <c r="I324" i="1"/>
  <c r="K324" i="1"/>
  <c r="AC324" i="1"/>
  <c r="AE324" i="1"/>
  <c r="AF324" i="1"/>
  <c r="AG324" i="1"/>
  <c r="CU324" i="1" s="1"/>
  <c r="AH324" i="1"/>
  <c r="CV324" i="1" s="1"/>
  <c r="U324" i="1" s="1"/>
  <c r="AI324" i="1"/>
  <c r="CW324" i="1" s="1"/>
  <c r="AJ324" i="1"/>
  <c r="CX324" i="1" s="1"/>
  <c r="CT324" i="1"/>
  <c r="S324" i="1" s="1"/>
  <c r="CY324" i="1" s="1"/>
  <c r="X324" i="1" s="1"/>
  <c r="FR324" i="1"/>
  <c r="GL324" i="1"/>
  <c r="GN324" i="1"/>
  <c r="GO324" i="1"/>
  <c r="GV324" i="1"/>
  <c r="HC324" i="1" s="1"/>
  <c r="D325" i="1"/>
  <c r="I325" i="1"/>
  <c r="V325" i="1" s="1"/>
  <c r="K325" i="1"/>
  <c r="AC325" i="1"/>
  <c r="AE325" i="1"/>
  <c r="AF325" i="1"/>
  <c r="AG325" i="1"/>
  <c r="CU325" i="1" s="1"/>
  <c r="T325" i="1" s="1"/>
  <c r="AH325" i="1"/>
  <c r="AI325" i="1"/>
  <c r="CW325" i="1" s="1"/>
  <c r="AJ325" i="1"/>
  <c r="CX325" i="1" s="1"/>
  <c r="W325" i="1" s="1"/>
  <c r="CT325" i="1"/>
  <c r="CV325" i="1"/>
  <c r="FR325" i="1"/>
  <c r="GL325" i="1"/>
  <c r="GN325" i="1"/>
  <c r="GO325" i="1"/>
  <c r="GV325" i="1"/>
  <c r="HC325" i="1"/>
  <c r="D326" i="1"/>
  <c r="I326" i="1"/>
  <c r="K326" i="1"/>
  <c r="P326" i="1"/>
  <c r="AC326" i="1"/>
  <c r="CQ326" i="1" s="1"/>
  <c r="AE326" i="1"/>
  <c r="AF326" i="1"/>
  <c r="CT326" i="1" s="1"/>
  <c r="S326" i="1" s="1"/>
  <c r="AG326" i="1"/>
  <c r="CU326" i="1" s="1"/>
  <c r="AH326" i="1"/>
  <c r="CV326" i="1" s="1"/>
  <c r="AI326" i="1"/>
  <c r="CW326" i="1" s="1"/>
  <c r="AJ326" i="1"/>
  <c r="CX326" i="1"/>
  <c r="W326" i="1" s="1"/>
  <c r="CZ326" i="1"/>
  <c r="Y326" i="1" s="1"/>
  <c r="FR326" i="1"/>
  <c r="GL326" i="1"/>
  <c r="GN326" i="1"/>
  <c r="GO326" i="1"/>
  <c r="GV326" i="1"/>
  <c r="HC326" i="1" s="1"/>
  <c r="D327" i="1"/>
  <c r="I327" i="1"/>
  <c r="K327" i="1"/>
  <c r="AC327" i="1"/>
  <c r="AE327" i="1"/>
  <c r="AF327" i="1"/>
  <c r="AG327" i="1"/>
  <c r="AH327" i="1"/>
  <c r="CV327" i="1" s="1"/>
  <c r="U327" i="1" s="1"/>
  <c r="AI327" i="1"/>
  <c r="CW327" i="1" s="1"/>
  <c r="AJ327" i="1"/>
  <c r="CX327" i="1" s="1"/>
  <c r="W327" i="1" s="1"/>
  <c r="CT327" i="1"/>
  <c r="S327" i="1" s="1"/>
  <c r="CU327" i="1"/>
  <c r="FR327" i="1"/>
  <c r="GL327" i="1"/>
  <c r="GN327" i="1"/>
  <c r="GO327" i="1"/>
  <c r="GV327" i="1"/>
  <c r="HC327" i="1" s="1"/>
  <c r="D328" i="1"/>
  <c r="I328" i="1"/>
  <c r="K328" i="1"/>
  <c r="AC328" i="1"/>
  <c r="AE328" i="1"/>
  <c r="CS328" i="1" s="1"/>
  <c r="R328" i="1" s="1"/>
  <c r="GK328" i="1" s="1"/>
  <c r="AF328" i="1"/>
  <c r="CT328" i="1" s="1"/>
  <c r="S328" i="1" s="1"/>
  <c r="AG328" i="1"/>
  <c r="CU328" i="1" s="1"/>
  <c r="AH328" i="1"/>
  <c r="CV328" i="1" s="1"/>
  <c r="AI328" i="1"/>
  <c r="CW328" i="1" s="1"/>
  <c r="AJ328" i="1"/>
  <c r="CX328" i="1" s="1"/>
  <c r="CR328" i="1"/>
  <c r="Q328" i="1" s="1"/>
  <c r="FR328" i="1"/>
  <c r="GL328" i="1"/>
  <c r="GN328" i="1"/>
  <c r="GO328" i="1"/>
  <c r="GV328" i="1"/>
  <c r="HC328" i="1" s="1"/>
  <c r="D329" i="1"/>
  <c r="I329" i="1"/>
  <c r="K329" i="1"/>
  <c r="AC329" i="1"/>
  <c r="AE329" i="1"/>
  <c r="CR329" i="1" s="1"/>
  <c r="Q329" i="1" s="1"/>
  <c r="AF329" i="1"/>
  <c r="CT329" i="1" s="1"/>
  <c r="S329" i="1" s="1"/>
  <c r="AG329" i="1"/>
  <c r="AH329" i="1"/>
  <c r="AI329" i="1"/>
  <c r="CW329" i="1" s="1"/>
  <c r="V329" i="1" s="1"/>
  <c r="AJ329" i="1"/>
  <c r="CX329" i="1" s="1"/>
  <c r="W329" i="1" s="1"/>
  <c r="CU329" i="1"/>
  <c r="CV329" i="1"/>
  <c r="FR329" i="1"/>
  <c r="GL329" i="1"/>
  <c r="GN329" i="1"/>
  <c r="GO329" i="1"/>
  <c r="GV329" i="1"/>
  <c r="HC329" i="1" s="1"/>
  <c r="GX329" i="1" s="1"/>
  <c r="D330" i="1"/>
  <c r="I330" i="1"/>
  <c r="K330" i="1"/>
  <c r="AC330" i="1"/>
  <c r="AE330" i="1"/>
  <c r="AF330" i="1"/>
  <c r="AG330" i="1"/>
  <c r="CU330" i="1" s="1"/>
  <c r="T330" i="1" s="1"/>
  <c r="AH330" i="1"/>
  <c r="CV330" i="1" s="1"/>
  <c r="AI330" i="1"/>
  <c r="AJ330" i="1"/>
  <c r="CX330" i="1" s="1"/>
  <c r="W330" i="1" s="1"/>
  <c r="CW330" i="1"/>
  <c r="V330" i="1" s="1"/>
  <c r="FR330" i="1"/>
  <c r="GL330" i="1"/>
  <c r="GN330" i="1"/>
  <c r="GO330" i="1"/>
  <c r="GV330" i="1"/>
  <c r="HC330" i="1" s="1"/>
  <c r="D331" i="1"/>
  <c r="I331" i="1"/>
  <c r="K331" i="1"/>
  <c r="S331" i="1"/>
  <c r="CY331" i="1" s="1"/>
  <c r="X331" i="1" s="1"/>
  <c r="U331" i="1"/>
  <c r="AC331" i="1"/>
  <c r="CQ331" i="1" s="1"/>
  <c r="P331" i="1" s="1"/>
  <c r="AE331" i="1"/>
  <c r="AF331" i="1"/>
  <c r="CT331" i="1" s="1"/>
  <c r="AG331" i="1"/>
  <c r="CU331" i="1" s="1"/>
  <c r="AH331" i="1"/>
  <c r="CV331" i="1" s="1"/>
  <c r="AI331" i="1"/>
  <c r="CW331" i="1" s="1"/>
  <c r="V331" i="1" s="1"/>
  <c r="AJ331" i="1"/>
  <c r="CX331" i="1" s="1"/>
  <c r="W331" i="1" s="1"/>
  <c r="FR331" i="1"/>
  <c r="GL331" i="1"/>
  <c r="GN331" i="1"/>
  <c r="GO331" i="1"/>
  <c r="GV331" i="1"/>
  <c r="HC331" i="1" s="1"/>
  <c r="GX331" i="1"/>
  <c r="D332" i="1"/>
  <c r="I332" i="1"/>
  <c r="K332" i="1"/>
  <c r="AB332" i="1"/>
  <c r="AC332" i="1"/>
  <c r="CQ332" i="1" s="1"/>
  <c r="P332" i="1" s="1"/>
  <c r="AD332" i="1"/>
  <c r="AE332" i="1"/>
  <c r="AF332" i="1"/>
  <c r="AG332" i="1"/>
  <c r="AH332" i="1"/>
  <c r="AI332" i="1"/>
  <c r="CW332" i="1" s="1"/>
  <c r="V332" i="1" s="1"/>
  <c r="AJ332" i="1"/>
  <c r="CX332" i="1" s="1"/>
  <c r="CR332" i="1"/>
  <c r="CT332" i="1"/>
  <c r="S332" i="1" s="1"/>
  <c r="CU332" i="1"/>
  <c r="T332" i="1" s="1"/>
  <c r="CV332" i="1"/>
  <c r="FR332" i="1"/>
  <c r="GL332" i="1"/>
  <c r="GN332" i="1"/>
  <c r="GO332" i="1"/>
  <c r="GV332" i="1"/>
  <c r="HC332" i="1"/>
  <c r="GX332" i="1" s="1"/>
  <c r="D333" i="1"/>
  <c r="I333" i="1"/>
  <c r="K333" i="1"/>
  <c r="AC333" i="1"/>
  <c r="AD333" i="1"/>
  <c r="AE333" i="1"/>
  <c r="AF333" i="1"/>
  <c r="CT333" i="1" s="1"/>
  <c r="AG333" i="1"/>
  <c r="AH333" i="1"/>
  <c r="CV333" i="1" s="1"/>
  <c r="AI333" i="1"/>
  <c r="CW333" i="1" s="1"/>
  <c r="V333" i="1" s="1"/>
  <c r="AJ333" i="1"/>
  <c r="CX333" i="1" s="1"/>
  <c r="W333" i="1" s="1"/>
  <c r="CU333" i="1"/>
  <c r="T333" i="1" s="1"/>
  <c r="FR333" i="1"/>
  <c r="GL333" i="1"/>
  <c r="GN333" i="1"/>
  <c r="GO333" i="1"/>
  <c r="GV333" i="1"/>
  <c r="HC333" i="1"/>
  <c r="D334" i="1"/>
  <c r="I334" i="1"/>
  <c r="K334" i="1"/>
  <c r="AC334" i="1"/>
  <c r="AE334" i="1"/>
  <c r="AF334" i="1"/>
  <c r="AG334" i="1"/>
  <c r="CU334" i="1" s="1"/>
  <c r="T334" i="1" s="1"/>
  <c r="AH334" i="1"/>
  <c r="CV334" i="1" s="1"/>
  <c r="U334" i="1" s="1"/>
  <c r="AI334" i="1"/>
  <c r="CW334" i="1" s="1"/>
  <c r="V334" i="1" s="1"/>
  <c r="AJ334" i="1"/>
  <c r="CX334" i="1" s="1"/>
  <c r="W334" i="1" s="1"/>
  <c r="CQ334" i="1"/>
  <c r="P334" i="1" s="1"/>
  <c r="CS334" i="1"/>
  <c r="FR334" i="1"/>
  <c r="GL334" i="1"/>
  <c r="GN334" i="1"/>
  <c r="GO334" i="1"/>
  <c r="GV334" i="1"/>
  <c r="HC334" i="1"/>
  <c r="GX334" i="1" s="1"/>
  <c r="D335" i="1"/>
  <c r="I335" i="1"/>
  <c r="K335" i="1"/>
  <c r="AC335" i="1"/>
  <c r="AD335" i="1"/>
  <c r="AE335" i="1"/>
  <c r="CR335" i="1" s="1"/>
  <c r="Q335" i="1" s="1"/>
  <c r="AF335" i="1"/>
  <c r="AG335" i="1"/>
  <c r="AH335" i="1"/>
  <c r="CV335" i="1" s="1"/>
  <c r="U335" i="1" s="1"/>
  <c r="AI335" i="1"/>
  <c r="AJ335" i="1"/>
  <c r="CX335" i="1" s="1"/>
  <c r="W335" i="1" s="1"/>
  <c r="CS335" i="1"/>
  <c r="R335" i="1" s="1"/>
  <c r="GK335" i="1" s="1"/>
  <c r="CT335" i="1"/>
  <c r="S335" i="1" s="1"/>
  <c r="CU335" i="1"/>
  <c r="T335" i="1" s="1"/>
  <c r="CW335" i="1"/>
  <c r="V335" i="1" s="1"/>
  <c r="FR335" i="1"/>
  <c r="GL335" i="1"/>
  <c r="GN335" i="1"/>
  <c r="GO335" i="1"/>
  <c r="GV335" i="1"/>
  <c r="HC335" i="1" s="1"/>
  <c r="GX335" i="1" s="1"/>
  <c r="D336" i="1"/>
  <c r="I336" i="1"/>
  <c r="K336" i="1"/>
  <c r="AC336" i="1"/>
  <c r="AE336" i="1"/>
  <c r="AF336" i="1"/>
  <c r="AG336" i="1"/>
  <c r="CU336" i="1" s="1"/>
  <c r="AH336" i="1"/>
  <c r="CV336" i="1" s="1"/>
  <c r="U336" i="1" s="1"/>
  <c r="AI336" i="1"/>
  <c r="CW336" i="1" s="1"/>
  <c r="AJ336" i="1"/>
  <c r="CX336" i="1"/>
  <c r="W336" i="1" s="1"/>
  <c r="FR336" i="1"/>
  <c r="GL336" i="1"/>
  <c r="GN336" i="1"/>
  <c r="GO336" i="1"/>
  <c r="GV336" i="1"/>
  <c r="HC336" i="1"/>
  <c r="GX336" i="1" s="1"/>
  <c r="D337" i="1"/>
  <c r="I337" i="1"/>
  <c r="V337" i="1" s="1"/>
  <c r="K337" i="1"/>
  <c r="AC337" i="1"/>
  <c r="CQ337" i="1" s="1"/>
  <c r="P337" i="1" s="1"/>
  <c r="AD337" i="1"/>
  <c r="AE337" i="1"/>
  <c r="CR337" i="1" s="1"/>
  <c r="Q337" i="1" s="1"/>
  <c r="AF337" i="1"/>
  <c r="CT337" i="1" s="1"/>
  <c r="AG337" i="1"/>
  <c r="AH337" i="1"/>
  <c r="CV337" i="1" s="1"/>
  <c r="U337" i="1" s="1"/>
  <c r="AI337" i="1"/>
  <c r="CW337" i="1" s="1"/>
  <c r="AJ337" i="1"/>
  <c r="CX337" i="1" s="1"/>
  <c r="W337" i="1" s="1"/>
  <c r="CS337" i="1"/>
  <c r="CU337" i="1"/>
  <c r="FR337" i="1"/>
  <c r="GL337" i="1"/>
  <c r="GN337" i="1"/>
  <c r="GO337" i="1"/>
  <c r="GV337" i="1"/>
  <c r="HC337" i="1" s="1"/>
  <c r="GX337" i="1" s="1"/>
  <c r="B339" i="1"/>
  <c r="B311" i="1" s="1"/>
  <c r="C339" i="1"/>
  <c r="C311" i="1" s="1"/>
  <c r="D339" i="1"/>
  <c r="D311" i="1" s="1"/>
  <c r="F339" i="1"/>
  <c r="F311" i="1" s="1"/>
  <c r="G339" i="1"/>
  <c r="BX339" i="1"/>
  <c r="AO339" i="1" s="1"/>
  <c r="CK339" i="1"/>
  <c r="BB339" i="1" s="1"/>
  <c r="CL339" i="1"/>
  <c r="BC339" i="1" s="1"/>
  <c r="CM339" i="1"/>
  <c r="B369" i="1"/>
  <c r="B211" i="1" s="1"/>
  <c r="C369" i="1"/>
  <c r="C211" i="1" s="1"/>
  <c r="D369" i="1"/>
  <c r="D211" i="1" s="1"/>
  <c r="F369" i="1"/>
  <c r="F211" i="1" s="1"/>
  <c r="G369" i="1"/>
  <c r="D399" i="1"/>
  <c r="E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BE401" i="1"/>
  <c r="BF401" i="1"/>
  <c r="BG401" i="1"/>
  <c r="BH401" i="1"/>
  <c r="BI401" i="1"/>
  <c r="BJ401" i="1"/>
  <c r="BK401" i="1"/>
  <c r="BL401" i="1"/>
  <c r="BM401" i="1"/>
  <c r="BN401" i="1"/>
  <c r="BO401" i="1"/>
  <c r="BP401" i="1"/>
  <c r="BQ401" i="1"/>
  <c r="BR401" i="1"/>
  <c r="BS401" i="1"/>
  <c r="BT401" i="1"/>
  <c r="BU401" i="1"/>
  <c r="BV401" i="1"/>
  <c r="BW401" i="1"/>
  <c r="BX401" i="1"/>
  <c r="BY401" i="1"/>
  <c r="BZ401" i="1"/>
  <c r="CA401" i="1"/>
  <c r="CB401" i="1"/>
  <c r="CC401" i="1"/>
  <c r="CD401" i="1"/>
  <c r="CE401" i="1"/>
  <c r="CF401" i="1"/>
  <c r="CG401" i="1"/>
  <c r="CH401" i="1"/>
  <c r="CI401" i="1"/>
  <c r="CJ401" i="1"/>
  <c r="CK401" i="1"/>
  <c r="CL401" i="1"/>
  <c r="CM401" i="1"/>
  <c r="CN401" i="1"/>
  <c r="CO401" i="1"/>
  <c r="CP401" i="1"/>
  <c r="CQ401" i="1"/>
  <c r="CR401" i="1"/>
  <c r="CS401" i="1"/>
  <c r="CT401" i="1"/>
  <c r="CU401" i="1"/>
  <c r="CV401" i="1"/>
  <c r="CW401" i="1"/>
  <c r="CX401" i="1"/>
  <c r="CY401" i="1"/>
  <c r="CZ401" i="1"/>
  <c r="DA401" i="1"/>
  <c r="DB401" i="1"/>
  <c r="DC401" i="1"/>
  <c r="DD401" i="1"/>
  <c r="DE401" i="1"/>
  <c r="DF401" i="1"/>
  <c r="DG401" i="1"/>
  <c r="DH401" i="1"/>
  <c r="DI401" i="1"/>
  <c r="DJ401" i="1"/>
  <c r="DK401" i="1"/>
  <c r="DL401" i="1"/>
  <c r="DM401" i="1"/>
  <c r="DN401" i="1"/>
  <c r="DO401" i="1"/>
  <c r="DP401" i="1"/>
  <c r="DQ401" i="1"/>
  <c r="DR401" i="1"/>
  <c r="DS401" i="1"/>
  <c r="DT401" i="1"/>
  <c r="DU401" i="1"/>
  <c r="DV401" i="1"/>
  <c r="DW401" i="1"/>
  <c r="DX401" i="1"/>
  <c r="DY401" i="1"/>
  <c r="DZ401" i="1"/>
  <c r="EA401" i="1"/>
  <c r="EB401" i="1"/>
  <c r="EC401" i="1"/>
  <c r="ED401" i="1"/>
  <c r="EE401" i="1"/>
  <c r="EF401" i="1"/>
  <c r="EG401" i="1"/>
  <c r="EH401" i="1"/>
  <c r="EI401" i="1"/>
  <c r="EJ401" i="1"/>
  <c r="EK401" i="1"/>
  <c r="EL401" i="1"/>
  <c r="EM401" i="1"/>
  <c r="EN401" i="1"/>
  <c r="EO401" i="1"/>
  <c r="EP401" i="1"/>
  <c r="EQ401" i="1"/>
  <c r="ER401" i="1"/>
  <c r="ES401" i="1"/>
  <c r="ET401" i="1"/>
  <c r="EU401" i="1"/>
  <c r="EV401" i="1"/>
  <c r="EW401" i="1"/>
  <c r="EX401" i="1"/>
  <c r="EY401" i="1"/>
  <c r="EZ401" i="1"/>
  <c r="FA401" i="1"/>
  <c r="FB401" i="1"/>
  <c r="FC401" i="1"/>
  <c r="FD401" i="1"/>
  <c r="FE401" i="1"/>
  <c r="FF401" i="1"/>
  <c r="FG401" i="1"/>
  <c r="FH401" i="1"/>
  <c r="FI401" i="1"/>
  <c r="FJ401" i="1"/>
  <c r="FK401" i="1"/>
  <c r="FL401" i="1"/>
  <c r="FM401" i="1"/>
  <c r="FN401" i="1"/>
  <c r="FO401" i="1"/>
  <c r="FP401" i="1"/>
  <c r="FQ401" i="1"/>
  <c r="FR401" i="1"/>
  <c r="FS401" i="1"/>
  <c r="FT401" i="1"/>
  <c r="FU401" i="1"/>
  <c r="FV401" i="1"/>
  <c r="FW401" i="1"/>
  <c r="FX401" i="1"/>
  <c r="FY401" i="1"/>
  <c r="FZ401" i="1"/>
  <c r="GA401" i="1"/>
  <c r="GB401" i="1"/>
  <c r="GC401" i="1"/>
  <c r="GD401" i="1"/>
  <c r="GE401" i="1"/>
  <c r="GF401" i="1"/>
  <c r="GG401" i="1"/>
  <c r="GH401" i="1"/>
  <c r="GI401" i="1"/>
  <c r="GJ401" i="1"/>
  <c r="GK401" i="1"/>
  <c r="GL401" i="1"/>
  <c r="GM401" i="1"/>
  <c r="GN401" i="1"/>
  <c r="GO401" i="1"/>
  <c r="GP401" i="1"/>
  <c r="GQ401" i="1"/>
  <c r="GR401" i="1"/>
  <c r="GS401" i="1"/>
  <c r="GT401" i="1"/>
  <c r="GU401" i="1"/>
  <c r="GV401" i="1"/>
  <c r="GW401" i="1"/>
  <c r="GX401" i="1"/>
  <c r="D403" i="1"/>
  <c r="E405" i="1"/>
  <c r="Z405" i="1"/>
  <c r="AA405" i="1"/>
  <c r="AM405" i="1"/>
  <c r="AN405" i="1"/>
  <c r="BE405" i="1"/>
  <c r="BF405" i="1"/>
  <c r="BG405" i="1"/>
  <c r="BH405" i="1"/>
  <c r="BI405" i="1"/>
  <c r="BJ405" i="1"/>
  <c r="BK405" i="1"/>
  <c r="BL405" i="1"/>
  <c r="BM405" i="1"/>
  <c r="BN405" i="1"/>
  <c r="BO405" i="1"/>
  <c r="BP405" i="1"/>
  <c r="BQ405" i="1"/>
  <c r="BR405" i="1"/>
  <c r="BS405" i="1"/>
  <c r="BT405" i="1"/>
  <c r="BU405" i="1"/>
  <c r="BV405" i="1"/>
  <c r="BW405" i="1"/>
  <c r="CL405" i="1"/>
  <c r="CN405" i="1"/>
  <c r="CO405" i="1"/>
  <c r="CP405" i="1"/>
  <c r="CQ405" i="1"/>
  <c r="CR405" i="1"/>
  <c r="CS405" i="1"/>
  <c r="CT405" i="1"/>
  <c r="CU405" i="1"/>
  <c r="CV405" i="1"/>
  <c r="CW405" i="1"/>
  <c r="CX405" i="1"/>
  <c r="CY405" i="1"/>
  <c r="CZ405" i="1"/>
  <c r="DA405" i="1"/>
  <c r="DB405" i="1"/>
  <c r="DC405" i="1"/>
  <c r="DD405" i="1"/>
  <c r="DE405" i="1"/>
  <c r="DF405" i="1"/>
  <c r="DG405" i="1"/>
  <c r="DH405" i="1"/>
  <c r="DI405" i="1"/>
  <c r="DJ405" i="1"/>
  <c r="DK405" i="1"/>
  <c r="DL405" i="1"/>
  <c r="DM405" i="1"/>
  <c r="DN405" i="1"/>
  <c r="DO405" i="1"/>
  <c r="DP405" i="1"/>
  <c r="DQ405" i="1"/>
  <c r="DR405" i="1"/>
  <c r="DS405" i="1"/>
  <c r="DT405" i="1"/>
  <c r="DU405" i="1"/>
  <c r="DV405" i="1"/>
  <c r="DW405" i="1"/>
  <c r="DX405" i="1"/>
  <c r="DY405" i="1"/>
  <c r="DZ405" i="1"/>
  <c r="EA405" i="1"/>
  <c r="EB405" i="1"/>
  <c r="EC405" i="1"/>
  <c r="ED405" i="1"/>
  <c r="EE405" i="1"/>
  <c r="EF405" i="1"/>
  <c r="EG405" i="1"/>
  <c r="EH405" i="1"/>
  <c r="EI405" i="1"/>
  <c r="EJ405" i="1"/>
  <c r="EK405" i="1"/>
  <c r="EL405" i="1"/>
  <c r="EM405" i="1"/>
  <c r="EN405" i="1"/>
  <c r="EO405" i="1"/>
  <c r="EP405" i="1"/>
  <c r="EQ405" i="1"/>
  <c r="ER405" i="1"/>
  <c r="ES405" i="1"/>
  <c r="ET405" i="1"/>
  <c r="EU405" i="1"/>
  <c r="EV405" i="1"/>
  <c r="EW405" i="1"/>
  <c r="EX405" i="1"/>
  <c r="EY405" i="1"/>
  <c r="EZ405" i="1"/>
  <c r="FA405" i="1"/>
  <c r="FB405" i="1"/>
  <c r="FC405" i="1"/>
  <c r="FD405" i="1"/>
  <c r="FE405" i="1"/>
  <c r="FF405" i="1"/>
  <c r="FG405" i="1"/>
  <c r="FH405" i="1"/>
  <c r="FI405" i="1"/>
  <c r="FJ405" i="1"/>
  <c r="FK405" i="1"/>
  <c r="FL405" i="1"/>
  <c r="FM405" i="1"/>
  <c r="FN405" i="1"/>
  <c r="FO405" i="1"/>
  <c r="FP405" i="1"/>
  <c r="FQ405" i="1"/>
  <c r="FR405" i="1"/>
  <c r="FS405" i="1"/>
  <c r="FT405" i="1"/>
  <c r="FU405" i="1"/>
  <c r="FV405" i="1"/>
  <c r="FW405" i="1"/>
  <c r="FX405" i="1"/>
  <c r="FY405" i="1"/>
  <c r="FZ405" i="1"/>
  <c r="GA405" i="1"/>
  <c r="GB405" i="1"/>
  <c r="GC405" i="1"/>
  <c r="GD405" i="1"/>
  <c r="GE405" i="1"/>
  <c r="GF405" i="1"/>
  <c r="GG405" i="1"/>
  <c r="GH405" i="1"/>
  <c r="GI405" i="1"/>
  <c r="GJ405" i="1"/>
  <c r="GK405" i="1"/>
  <c r="GL405" i="1"/>
  <c r="GM405" i="1"/>
  <c r="GN405" i="1"/>
  <c r="GO405" i="1"/>
  <c r="GP405" i="1"/>
  <c r="GQ405" i="1"/>
  <c r="GR405" i="1"/>
  <c r="GS405" i="1"/>
  <c r="GT405" i="1"/>
  <c r="GU405" i="1"/>
  <c r="GV405" i="1"/>
  <c r="GW405" i="1"/>
  <c r="GX405" i="1"/>
  <c r="D407" i="1"/>
  <c r="I407" i="1"/>
  <c r="K407" i="1"/>
  <c r="R407" i="1"/>
  <c r="GK407" i="1" s="1"/>
  <c r="AC407" i="1"/>
  <c r="AD407" i="1"/>
  <c r="AE407" i="1"/>
  <c r="CS407" i="1" s="1"/>
  <c r="AF407" i="1"/>
  <c r="CT407" i="1" s="1"/>
  <c r="S407" i="1" s="1"/>
  <c r="AG407" i="1"/>
  <c r="CU407" i="1" s="1"/>
  <c r="AH407" i="1"/>
  <c r="AI407" i="1"/>
  <c r="CW407" i="1" s="1"/>
  <c r="AJ407" i="1"/>
  <c r="CX407" i="1" s="1"/>
  <c r="W407" i="1" s="1"/>
  <c r="CR407" i="1"/>
  <c r="Q407" i="1" s="1"/>
  <c r="CV407" i="1"/>
  <c r="U407" i="1" s="1"/>
  <c r="FR407" i="1"/>
  <c r="GL407" i="1"/>
  <c r="GN407" i="1"/>
  <c r="GO407" i="1"/>
  <c r="GV407" i="1"/>
  <c r="HC407" i="1" s="1"/>
  <c r="GX407" i="1" s="1"/>
  <c r="D408" i="1"/>
  <c r="I408" i="1"/>
  <c r="K408" i="1"/>
  <c r="R408" i="1"/>
  <c r="GK408" i="1" s="1"/>
  <c r="AC408" i="1"/>
  <c r="CQ408" i="1" s="1"/>
  <c r="P408" i="1" s="1"/>
  <c r="AE408" i="1"/>
  <c r="CS408" i="1" s="1"/>
  <c r="AF408" i="1"/>
  <c r="CT408" i="1" s="1"/>
  <c r="S408" i="1" s="1"/>
  <c r="CY408" i="1" s="1"/>
  <c r="X408" i="1" s="1"/>
  <c r="AG408" i="1"/>
  <c r="CU408" i="1" s="1"/>
  <c r="T408" i="1" s="1"/>
  <c r="AH408" i="1"/>
  <c r="CV408" i="1" s="1"/>
  <c r="U408" i="1" s="1"/>
  <c r="AI408" i="1"/>
  <c r="AJ408" i="1"/>
  <c r="CW408" i="1"/>
  <c r="V408" i="1" s="1"/>
  <c r="CX408" i="1"/>
  <c r="W408" i="1" s="1"/>
  <c r="FR408" i="1"/>
  <c r="GL408" i="1"/>
  <c r="GN408" i="1"/>
  <c r="GO408" i="1"/>
  <c r="GV408" i="1"/>
  <c r="HC408" i="1" s="1"/>
  <c r="GX408" i="1" s="1"/>
  <c r="D409" i="1"/>
  <c r="I409" i="1"/>
  <c r="K409" i="1"/>
  <c r="AC409" i="1"/>
  <c r="CQ409" i="1" s="1"/>
  <c r="AE409" i="1"/>
  <c r="AF409" i="1"/>
  <c r="AG409" i="1"/>
  <c r="CU409" i="1" s="1"/>
  <c r="AH409" i="1"/>
  <c r="CV409" i="1" s="1"/>
  <c r="AI409" i="1"/>
  <c r="CW409" i="1" s="1"/>
  <c r="AJ409" i="1"/>
  <c r="CX409" i="1" s="1"/>
  <c r="FR409" i="1"/>
  <c r="GL409" i="1"/>
  <c r="GN409" i="1"/>
  <c r="CB426" i="1" s="1"/>
  <c r="GO409" i="1"/>
  <c r="GV409" i="1"/>
  <c r="HC409" i="1" s="1"/>
  <c r="GX409" i="1"/>
  <c r="D410" i="1"/>
  <c r="I410" i="1"/>
  <c r="K410" i="1"/>
  <c r="AC410" i="1"/>
  <c r="AE410" i="1"/>
  <c r="AF410" i="1"/>
  <c r="AG410" i="1"/>
  <c r="CU410" i="1" s="1"/>
  <c r="AH410" i="1"/>
  <c r="CV410" i="1" s="1"/>
  <c r="U410" i="1" s="1"/>
  <c r="AI410" i="1"/>
  <c r="AJ410" i="1"/>
  <c r="CX410" i="1" s="1"/>
  <c r="CQ410" i="1"/>
  <c r="CW410" i="1"/>
  <c r="V410" i="1" s="1"/>
  <c r="FR410" i="1"/>
  <c r="GL410" i="1"/>
  <c r="GN410" i="1"/>
  <c r="GO410" i="1"/>
  <c r="GV410" i="1"/>
  <c r="HC410" i="1" s="1"/>
  <c r="GX410" i="1" s="1"/>
  <c r="D411" i="1"/>
  <c r="I411" i="1"/>
  <c r="S411" i="1" s="1"/>
  <c r="K411" i="1"/>
  <c r="Q411" i="1"/>
  <c r="T411" i="1"/>
  <c r="AC411" i="1"/>
  <c r="AD411" i="1"/>
  <c r="AE411" i="1"/>
  <c r="AF411" i="1"/>
  <c r="CT411" i="1" s="1"/>
  <c r="AG411" i="1"/>
  <c r="CU411" i="1" s="1"/>
  <c r="AH411" i="1"/>
  <c r="AI411" i="1"/>
  <c r="CW411" i="1" s="1"/>
  <c r="V411" i="1" s="1"/>
  <c r="AJ411" i="1"/>
  <c r="CX411" i="1" s="1"/>
  <c r="W411" i="1" s="1"/>
  <c r="CR411" i="1"/>
  <c r="CS411" i="1"/>
  <c r="R411" i="1" s="1"/>
  <c r="GK411" i="1" s="1"/>
  <c r="CV411" i="1"/>
  <c r="U411" i="1" s="1"/>
  <c r="FR411" i="1"/>
  <c r="GL411" i="1"/>
  <c r="GN411" i="1"/>
  <c r="GO411" i="1"/>
  <c r="GV411" i="1"/>
  <c r="HC411" i="1" s="1"/>
  <c r="GX411" i="1" s="1"/>
  <c r="D412" i="1"/>
  <c r="I412" i="1"/>
  <c r="K412" i="1"/>
  <c r="AC412" i="1"/>
  <c r="CQ412" i="1" s="1"/>
  <c r="AD412" i="1"/>
  <c r="AB412" i="1" s="1"/>
  <c r="AE412" i="1"/>
  <c r="AF412" i="1"/>
  <c r="AG412" i="1"/>
  <c r="CU412" i="1" s="1"/>
  <c r="AH412" i="1"/>
  <c r="AI412" i="1"/>
  <c r="CW412" i="1" s="1"/>
  <c r="V412" i="1" s="1"/>
  <c r="AJ412" i="1"/>
  <c r="CR412" i="1"/>
  <c r="Q412" i="1" s="1"/>
  <c r="CS412" i="1"/>
  <c r="CT412" i="1"/>
  <c r="CV412" i="1"/>
  <c r="CX412" i="1"/>
  <c r="W412" i="1" s="1"/>
  <c r="FR412" i="1"/>
  <c r="GL412" i="1"/>
  <c r="GN412" i="1"/>
  <c r="GO412" i="1"/>
  <c r="GV412" i="1"/>
  <c r="HC412" i="1"/>
  <c r="GX412" i="1" s="1"/>
  <c r="D413" i="1"/>
  <c r="I413" i="1"/>
  <c r="K413" i="1"/>
  <c r="AC413" i="1"/>
  <c r="AE413" i="1"/>
  <c r="AF413" i="1"/>
  <c r="AG413" i="1"/>
  <c r="CU413" i="1" s="1"/>
  <c r="T413" i="1" s="1"/>
  <c r="AH413" i="1"/>
  <c r="AI413" i="1"/>
  <c r="CW413" i="1" s="1"/>
  <c r="V413" i="1" s="1"/>
  <c r="AJ413" i="1"/>
  <c r="CX413" i="1" s="1"/>
  <c r="W413" i="1" s="1"/>
  <c r="CR413" i="1"/>
  <c r="Q413" i="1" s="1"/>
  <c r="CS413" i="1"/>
  <c r="CV413" i="1"/>
  <c r="U413" i="1" s="1"/>
  <c r="FR413" i="1"/>
  <c r="GL413" i="1"/>
  <c r="GN413" i="1"/>
  <c r="GO413" i="1"/>
  <c r="GV413" i="1"/>
  <c r="HC413" i="1" s="1"/>
  <c r="GX413" i="1"/>
  <c r="D414" i="1"/>
  <c r="I414" i="1"/>
  <c r="K414" i="1"/>
  <c r="AC414" i="1"/>
  <c r="AE414" i="1"/>
  <c r="AF414" i="1"/>
  <c r="AG414" i="1"/>
  <c r="CU414" i="1" s="1"/>
  <c r="T414" i="1" s="1"/>
  <c r="AH414" i="1"/>
  <c r="CV414" i="1" s="1"/>
  <c r="AI414" i="1"/>
  <c r="CW414" i="1" s="1"/>
  <c r="V414" i="1" s="1"/>
  <c r="AJ414" i="1"/>
  <c r="CX414" i="1" s="1"/>
  <c r="CQ414" i="1"/>
  <c r="P414" i="1" s="1"/>
  <c r="CS414" i="1"/>
  <c r="FR414" i="1"/>
  <c r="GL414" i="1"/>
  <c r="GN414" i="1"/>
  <c r="GO414" i="1"/>
  <c r="GV414" i="1"/>
  <c r="HC414" i="1" s="1"/>
  <c r="GX414" i="1" s="1"/>
  <c r="D415" i="1"/>
  <c r="AC415" i="1"/>
  <c r="CQ415" i="1" s="1"/>
  <c r="P415" i="1" s="1"/>
  <c r="AE415" i="1"/>
  <c r="AD415" i="1" s="1"/>
  <c r="AB415" i="1" s="1"/>
  <c r="AF415" i="1"/>
  <c r="CT415" i="1" s="1"/>
  <c r="S415" i="1" s="1"/>
  <c r="CZ415" i="1" s="1"/>
  <c r="Y415" i="1" s="1"/>
  <c r="AG415" i="1"/>
  <c r="AH415" i="1"/>
  <c r="CV415" i="1" s="1"/>
  <c r="U415" i="1" s="1"/>
  <c r="AI415" i="1"/>
  <c r="AJ415" i="1"/>
  <c r="CU415" i="1"/>
  <c r="T415" i="1" s="1"/>
  <c r="CW415" i="1"/>
  <c r="V415" i="1" s="1"/>
  <c r="CX415" i="1"/>
  <c r="W415" i="1" s="1"/>
  <c r="CY415" i="1"/>
  <c r="X415" i="1" s="1"/>
  <c r="FR415" i="1"/>
  <c r="GL415" i="1"/>
  <c r="GN415" i="1"/>
  <c r="GO415" i="1"/>
  <c r="GV415" i="1"/>
  <c r="HC415" i="1" s="1"/>
  <c r="GX415" i="1" s="1"/>
  <c r="D416" i="1"/>
  <c r="I416" i="1"/>
  <c r="K416" i="1"/>
  <c r="AC416" i="1"/>
  <c r="CQ416" i="1" s="1"/>
  <c r="AE416" i="1"/>
  <c r="AF416" i="1"/>
  <c r="CT416" i="1" s="1"/>
  <c r="S416" i="1" s="1"/>
  <c r="AG416" i="1"/>
  <c r="CU416" i="1" s="1"/>
  <c r="AH416" i="1"/>
  <c r="CV416" i="1" s="1"/>
  <c r="AI416" i="1"/>
  <c r="AJ416" i="1"/>
  <c r="CX416" i="1" s="1"/>
  <c r="CW416" i="1"/>
  <c r="FR416" i="1"/>
  <c r="GL416" i="1"/>
  <c r="GN416" i="1"/>
  <c r="GO416" i="1"/>
  <c r="GV416" i="1"/>
  <c r="HC416" i="1" s="1"/>
  <c r="D417" i="1"/>
  <c r="I417" i="1"/>
  <c r="K417" i="1"/>
  <c r="AC417" i="1"/>
  <c r="CQ417" i="1" s="1"/>
  <c r="P417" i="1" s="1"/>
  <c r="AD417" i="1"/>
  <c r="AE417" i="1"/>
  <c r="AF417" i="1"/>
  <c r="AG417" i="1"/>
  <c r="CU417" i="1" s="1"/>
  <c r="T417" i="1" s="1"/>
  <c r="AH417" i="1"/>
  <c r="CV417" i="1" s="1"/>
  <c r="U417" i="1" s="1"/>
  <c r="AI417" i="1"/>
  <c r="CW417" i="1" s="1"/>
  <c r="V417" i="1" s="1"/>
  <c r="AJ417" i="1"/>
  <c r="CX417" i="1" s="1"/>
  <c r="W417" i="1" s="1"/>
  <c r="CR417" i="1"/>
  <c r="Q417" i="1" s="1"/>
  <c r="FR417" i="1"/>
  <c r="GL417" i="1"/>
  <c r="GN417" i="1"/>
  <c r="GO417" i="1"/>
  <c r="GV417" i="1"/>
  <c r="HC417" i="1" s="1"/>
  <c r="GX417" i="1" s="1"/>
  <c r="D418" i="1"/>
  <c r="I418" i="1"/>
  <c r="K418" i="1"/>
  <c r="AC418" i="1"/>
  <c r="AD418" i="1"/>
  <c r="AB418" i="1" s="1"/>
  <c r="AE418" i="1"/>
  <c r="CR418" i="1" s="1"/>
  <c r="Q418" i="1" s="1"/>
  <c r="AF418" i="1"/>
  <c r="CT418" i="1" s="1"/>
  <c r="S418" i="1" s="1"/>
  <c r="AG418" i="1"/>
  <c r="AH418" i="1"/>
  <c r="CV418" i="1" s="1"/>
  <c r="U418" i="1" s="1"/>
  <c r="AI418" i="1"/>
  <c r="CW418" i="1" s="1"/>
  <c r="V418" i="1" s="1"/>
  <c r="AJ418" i="1"/>
  <c r="CQ418" i="1"/>
  <c r="P418" i="1" s="1"/>
  <c r="CU418" i="1"/>
  <c r="T418" i="1" s="1"/>
  <c r="CX418" i="1"/>
  <c r="W418" i="1" s="1"/>
  <c r="FR418" i="1"/>
  <c r="GL418" i="1"/>
  <c r="GN418" i="1"/>
  <c r="GO418" i="1"/>
  <c r="GV418" i="1"/>
  <c r="HC418" i="1" s="1"/>
  <c r="GX418" i="1" s="1"/>
  <c r="D419" i="1"/>
  <c r="I419" i="1"/>
  <c r="K419" i="1"/>
  <c r="AC419" i="1"/>
  <c r="AE419" i="1"/>
  <c r="AF419" i="1"/>
  <c r="CT419" i="1" s="1"/>
  <c r="AG419" i="1"/>
  <c r="CU419" i="1" s="1"/>
  <c r="AH419" i="1"/>
  <c r="CV419" i="1" s="1"/>
  <c r="AI419" i="1"/>
  <c r="AJ419" i="1"/>
  <c r="CX419" i="1" s="1"/>
  <c r="W419" i="1" s="1"/>
  <c r="CQ419" i="1"/>
  <c r="CW419" i="1"/>
  <c r="V419" i="1" s="1"/>
  <c r="FR419" i="1"/>
  <c r="GL419" i="1"/>
  <c r="GN419" i="1"/>
  <c r="GO419" i="1"/>
  <c r="GV419" i="1"/>
  <c r="HC419" i="1"/>
  <c r="GX419" i="1" s="1"/>
  <c r="D420" i="1"/>
  <c r="I420" i="1"/>
  <c r="K420" i="1"/>
  <c r="AC420" i="1"/>
  <c r="AD420" i="1"/>
  <c r="AE420" i="1"/>
  <c r="CR420" i="1" s="1"/>
  <c r="Q420" i="1" s="1"/>
  <c r="AF420" i="1"/>
  <c r="CT420" i="1" s="1"/>
  <c r="S420" i="1" s="1"/>
  <c r="AG420" i="1"/>
  <c r="CU420" i="1" s="1"/>
  <c r="T420" i="1" s="1"/>
  <c r="AH420" i="1"/>
  <c r="CV420" i="1" s="1"/>
  <c r="U420" i="1" s="1"/>
  <c r="AI420" i="1"/>
  <c r="AJ420" i="1"/>
  <c r="CX420" i="1" s="1"/>
  <c r="W420" i="1" s="1"/>
  <c r="CQ420" i="1"/>
  <c r="P420" i="1" s="1"/>
  <c r="CW420" i="1"/>
  <c r="V420" i="1" s="1"/>
  <c r="FR420" i="1"/>
  <c r="GL420" i="1"/>
  <c r="GN420" i="1"/>
  <c r="GO420" i="1"/>
  <c r="GV420" i="1"/>
  <c r="HC420" i="1" s="1"/>
  <c r="GX420" i="1" s="1"/>
  <c r="D421" i="1"/>
  <c r="I421" i="1"/>
  <c r="K421" i="1"/>
  <c r="AC421" i="1"/>
  <c r="AE421" i="1"/>
  <c r="AF421" i="1"/>
  <c r="CT421" i="1" s="1"/>
  <c r="AG421" i="1"/>
  <c r="CU421" i="1" s="1"/>
  <c r="AH421" i="1"/>
  <c r="CV421" i="1" s="1"/>
  <c r="AI421" i="1"/>
  <c r="CW421" i="1" s="1"/>
  <c r="V421" i="1" s="1"/>
  <c r="AJ421" i="1"/>
  <c r="CX421" i="1"/>
  <c r="FR421" i="1"/>
  <c r="GL421" i="1"/>
  <c r="GN421" i="1"/>
  <c r="GO421" i="1"/>
  <c r="GV421" i="1"/>
  <c r="HC421" i="1"/>
  <c r="D422" i="1"/>
  <c r="I422" i="1"/>
  <c r="K422" i="1"/>
  <c r="AC422" i="1"/>
  <c r="CQ422" i="1" s="1"/>
  <c r="P422" i="1" s="1"/>
  <c r="AE422" i="1"/>
  <c r="AD422" i="1" s="1"/>
  <c r="AF422" i="1"/>
  <c r="CT422" i="1" s="1"/>
  <c r="AG422" i="1"/>
  <c r="CU422" i="1" s="1"/>
  <c r="AH422" i="1"/>
  <c r="CV422" i="1" s="1"/>
  <c r="U422" i="1" s="1"/>
  <c r="AI422" i="1"/>
  <c r="CW422" i="1" s="1"/>
  <c r="V422" i="1" s="1"/>
  <c r="AJ422" i="1"/>
  <c r="CX422" i="1" s="1"/>
  <c r="W422" i="1" s="1"/>
  <c r="CR422" i="1"/>
  <c r="FR422" i="1"/>
  <c r="GL422" i="1"/>
  <c r="GN422" i="1"/>
  <c r="GO422" i="1"/>
  <c r="GV422" i="1"/>
  <c r="HC422" i="1" s="1"/>
  <c r="GX422" i="1" s="1"/>
  <c r="D423" i="1"/>
  <c r="I423" i="1"/>
  <c r="K423" i="1"/>
  <c r="AC423" i="1"/>
  <c r="AE423" i="1"/>
  <c r="AD423" i="1" s="1"/>
  <c r="AF423" i="1"/>
  <c r="CT423" i="1" s="1"/>
  <c r="S423" i="1" s="1"/>
  <c r="AG423" i="1"/>
  <c r="CU423" i="1" s="1"/>
  <c r="T423" i="1" s="1"/>
  <c r="AH423" i="1"/>
  <c r="CV423" i="1" s="1"/>
  <c r="U423" i="1" s="1"/>
  <c r="AI423" i="1"/>
  <c r="AJ423" i="1"/>
  <c r="CQ423" i="1"/>
  <c r="P423" i="1" s="1"/>
  <c r="CS423" i="1"/>
  <c r="R423" i="1" s="1"/>
  <c r="GK423" i="1" s="1"/>
  <c r="CW423" i="1"/>
  <c r="V423" i="1" s="1"/>
  <c r="CX423" i="1"/>
  <c r="W423" i="1" s="1"/>
  <c r="FR423" i="1"/>
  <c r="GL423" i="1"/>
  <c r="GN423" i="1"/>
  <c r="GO423" i="1"/>
  <c r="GV423" i="1"/>
  <c r="HC423" i="1"/>
  <c r="GX423" i="1" s="1"/>
  <c r="D424" i="1"/>
  <c r="I424" i="1"/>
  <c r="K424" i="1"/>
  <c r="AC424" i="1"/>
  <c r="AD424" i="1"/>
  <c r="AE424" i="1"/>
  <c r="AF424" i="1"/>
  <c r="AG424" i="1"/>
  <c r="CU424" i="1" s="1"/>
  <c r="T424" i="1" s="1"/>
  <c r="AH424" i="1"/>
  <c r="AI424" i="1"/>
  <c r="CW424" i="1" s="1"/>
  <c r="AJ424" i="1"/>
  <c r="CX424" i="1" s="1"/>
  <c r="CR424" i="1"/>
  <c r="CS424" i="1"/>
  <c r="CT424" i="1"/>
  <c r="S424" i="1" s="1"/>
  <c r="CV424" i="1"/>
  <c r="U424" i="1" s="1"/>
  <c r="FR424" i="1"/>
  <c r="GL424" i="1"/>
  <c r="GN424" i="1"/>
  <c r="GO424" i="1"/>
  <c r="GV424" i="1"/>
  <c r="HC424" i="1" s="1"/>
  <c r="B426" i="1"/>
  <c r="B405" i="1" s="1"/>
  <c r="C426" i="1"/>
  <c r="C405" i="1" s="1"/>
  <c r="D426" i="1"/>
  <c r="D405" i="1" s="1"/>
  <c r="F426" i="1"/>
  <c r="F405" i="1" s="1"/>
  <c r="G426" i="1"/>
  <c r="BX426" i="1"/>
  <c r="CK426" i="1"/>
  <c r="CL426" i="1"/>
  <c r="BC426" i="1" s="1"/>
  <c r="F442" i="1" s="1"/>
  <c r="CM426" i="1"/>
  <c r="BD426" i="1" s="1"/>
  <c r="BD405" i="1" s="1"/>
  <c r="F451" i="1"/>
  <c r="D456" i="1"/>
  <c r="C458" i="1"/>
  <c r="E458" i="1"/>
  <c r="Z458" i="1"/>
  <c r="AA458" i="1"/>
  <c r="AM458" i="1"/>
  <c r="AN458" i="1"/>
  <c r="BE458" i="1"/>
  <c r="BF458" i="1"/>
  <c r="BG458" i="1"/>
  <c r="BH458" i="1"/>
  <c r="BI458" i="1"/>
  <c r="BJ458" i="1"/>
  <c r="BK458" i="1"/>
  <c r="BL458" i="1"/>
  <c r="BM458" i="1"/>
  <c r="BN458" i="1"/>
  <c r="BO458" i="1"/>
  <c r="BP458" i="1"/>
  <c r="BQ458" i="1"/>
  <c r="BR458" i="1"/>
  <c r="BS458" i="1"/>
  <c r="BT458" i="1"/>
  <c r="BU458" i="1"/>
  <c r="BV458" i="1"/>
  <c r="BW458" i="1"/>
  <c r="CN458" i="1"/>
  <c r="CO458" i="1"/>
  <c r="CP458" i="1"/>
  <c r="CQ458" i="1"/>
  <c r="CR458" i="1"/>
  <c r="CS458" i="1"/>
  <c r="CT458" i="1"/>
  <c r="CU458" i="1"/>
  <c r="CV458" i="1"/>
  <c r="CW458" i="1"/>
  <c r="CX458" i="1"/>
  <c r="CY458" i="1"/>
  <c r="CZ458" i="1"/>
  <c r="DA458" i="1"/>
  <c r="DB458" i="1"/>
  <c r="DC458" i="1"/>
  <c r="DD458" i="1"/>
  <c r="DE458" i="1"/>
  <c r="DF458" i="1"/>
  <c r="DG458" i="1"/>
  <c r="DH458" i="1"/>
  <c r="DI458" i="1"/>
  <c r="DJ458" i="1"/>
  <c r="DK458" i="1"/>
  <c r="DL458" i="1"/>
  <c r="DM458" i="1"/>
  <c r="DN458" i="1"/>
  <c r="DO458" i="1"/>
  <c r="DP458" i="1"/>
  <c r="DQ458" i="1"/>
  <c r="DR458" i="1"/>
  <c r="DS458" i="1"/>
  <c r="DT458" i="1"/>
  <c r="DU458" i="1"/>
  <c r="DV458" i="1"/>
  <c r="DW458" i="1"/>
  <c r="DX458" i="1"/>
  <c r="DY458" i="1"/>
  <c r="DZ458" i="1"/>
  <c r="EA458" i="1"/>
  <c r="EB458" i="1"/>
  <c r="EC458" i="1"/>
  <c r="ED458" i="1"/>
  <c r="EE458" i="1"/>
  <c r="EF458" i="1"/>
  <c r="EG458" i="1"/>
  <c r="EH458" i="1"/>
  <c r="EI458" i="1"/>
  <c r="EJ458" i="1"/>
  <c r="EK458" i="1"/>
  <c r="EL458" i="1"/>
  <c r="EM458" i="1"/>
  <c r="EN458" i="1"/>
  <c r="EO458" i="1"/>
  <c r="EP458" i="1"/>
  <c r="EQ458" i="1"/>
  <c r="ER458" i="1"/>
  <c r="ES458" i="1"/>
  <c r="ET458" i="1"/>
  <c r="EU458" i="1"/>
  <c r="EV458" i="1"/>
  <c r="EW458" i="1"/>
  <c r="EX458" i="1"/>
  <c r="EY458" i="1"/>
  <c r="EZ458" i="1"/>
  <c r="FA458" i="1"/>
  <c r="FB458" i="1"/>
  <c r="FC458" i="1"/>
  <c r="FD458" i="1"/>
  <c r="FE458" i="1"/>
  <c r="FF458" i="1"/>
  <c r="FG458" i="1"/>
  <c r="FH458" i="1"/>
  <c r="FI458" i="1"/>
  <c r="FJ458" i="1"/>
  <c r="FK458" i="1"/>
  <c r="FL458" i="1"/>
  <c r="FM458" i="1"/>
  <c r="FN458" i="1"/>
  <c r="FO458" i="1"/>
  <c r="FP458" i="1"/>
  <c r="FQ458" i="1"/>
  <c r="FR458" i="1"/>
  <c r="FS458" i="1"/>
  <c r="FT458" i="1"/>
  <c r="FU458" i="1"/>
  <c r="FV458" i="1"/>
  <c r="FW458" i="1"/>
  <c r="FX458" i="1"/>
  <c r="FY458" i="1"/>
  <c r="FZ458" i="1"/>
  <c r="GA458" i="1"/>
  <c r="GB458" i="1"/>
  <c r="GC458" i="1"/>
  <c r="GD458" i="1"/>
  <c r="GE458" i="1"/>
  <c r="GF458" i="1"/>
  <c r="GG458" i="1"/>
  <c r="GH458" i="1"/>
  <c r="GI458" i="1"/>
  <c r="GJ458" i="1"/>
  <c r="GK458" i="1"/>
  <c r="GL458" i="1"/>
  <c r="GM458" i="1"/>
  <c r="GN458" i="1"/>
  <c r="GO458" i="1"/>
  <c r="GP458" i="1"/>
  <c r="GQ458" i="1"/>
  <c r="GR458" i="1"/>
  <c r="GS458" i="1"/>
  <c r="GT458" i="1"/>
  <c r="GU458" i="1"/>
  <c r="GV458" i="1"/>
  <c r="GW458" i="1"/>
  <c r="GX458" i="1"/>
  <c r="D460" i="1"/>
  <c r="I460" i="1"/>
  <c r="K460" i="1"/>
  <c r="AC460" i="1"/>
  <c r="AE460" i="1"/>
  <c r="AF460" i="1"/>
  <c r="AG460" i="1"/>
  <c r="CU460" i="1" s="1"/>
  <c r="AH460" i="1"/>
  <c r="CV460" i="1" s="1"/>
  <c r="U460" i="1" s="1"/>
  <c r="AI460" i="1"/>
  <c r="CW460" i="1" s="1"/>
  <c r="V460" i="1" s="1"/>
  <c r="AJ460" i="1"/>
  <c r="CX460" i="1" s="1"/>
  <c r="W460" i="1" s="1"/>
  <c r="CQ460" i="1"/>
  <c r="P460" i="1" s="1"/>
  <c r="CR460" i="1"/>
  <c r="CS460" i="1"/>
  <c r="FR460" i="1"/>
  <c r="GL460" i="1"/>
  <c r="GN460" i="1"/>
  <c r="GO460" i="1"/>
  <c r="GV460" i="1"/>
  <c r="HC460" i="1" s="1"/>
  <c r="D461" i="1"/>
  <c r="I461" i="1"/>
  <c r="K461" i="1"/>
  <c r="R461" i="1"/>
  <c r="AC461" i="1"/>
  <c r="AE461" i="1"/>
  <c r="AF461" i="1"/>
  <c r="AG461" i="1"/>
  <c r="CU461" i="1" s="1"/>
  <c r="AH461" i="1"/>
  <c r="AI461" i="1"/>
  <c r="AJ461" i="1"/>
  <c r="CQ461" i="1"/>
  <c r="CR461" i="1"/>
  <c r="CS461" i="1"/>
  <c r="CV461" i="1"/>
  <c r="U461" i="1" s="1"/>
  <c r="CW461" i="1"/>
  <c r="CX461" i="1"/>
  <c r="FR461" i="1"/>
  <c r="GL461" i="1"/>
  <c r="GN461" i="1"/>
  <c r="GO461" i="1"/>
  <c r="GV461" i="1"/>
  <c r="HC461" i="1"/>
  <c r="D462" i="1"/>
  <c r="AC462" i="1"/>
  <c r="CQ462" i="1" s="1"/>
  <c r="P462" i="1" s="1"/>
  <c r="AE462" i="1"/>
  <c r="AD462" i="1" s="1"/>
  <c r="AF462" i="1"/>
  <c r="CT462" i="1" s="1"/>
  <c r="S462" i="1" s="1"/>
  <c r="AG462" i="1"/>
  <c r="CU462" i="1" s="1"/>
  <c r="T462" i="1" s="1"/>
  <c r="AH462" i="1"/>
  <c r="CV462" i="1" s="1"/>
  <c r="U462" i="1" s="1"/>
  <c r="AI462" i="1"/>
  <c r="CW462" i="1" s="1"/>
  <c r="V462" i="1" s="1"/>
  <c r="AJ462" i="1"/>
  <c r="CX462" i="1" s="1"/>
  <c r="W462" i="1" s="1"/>
  <c r="FR462" i="1"/>
  <c r="GL462" i="1"/>
  <c r="GN462" i="1"/>
  <c r="GO462" i="1"/>
  <c r="GV462" i="1"/>
  <c r="HC462" i="1" s="1"/>
  <c r="GX462" i="1" s="1"/>
  <c r="D463" i="1"/>
  <c r="U463" i="1"/>
  <c r="AC463" i="1"/>
  <c r="AB463" i="1" s="1"/>
  <c r="AE463" i="1"/>
  <c r="AD463" i="1" s="1"/>
  <c r="AF463" i="1"/>
  <c r="CT463" i="1" s="1"/>
  <c r="S463" i="1" s="1"/>
  <c r="AG463" i="1"/>
  <c r="CU463" i="1" s="1"/>
  <c r="T463" i="1" s="1"/>
  <c r="AH463" i="1"/>
  <c r="CV463" i="1" s="1"/>
  <c r="AI463" i="1"/>
  <c r="CW463" i="1" s="1"/>
  <c r="V463" i="1" s="1"/>
  <c r="AJ463" i="1"/>
  <c r="CX463" i="1" s="1"/>
  <c r="W463" i="1" s="1"/>
  <c r="CR463" i="1"/>
  <c r="Q463" i="1" s="1"/>
  <c r="CS463" i="1"/>
  <c r="R463" i="1" s="1"/>
  <c r="GK463" i="1" s="1"/>
  <c r="FR463" i="1"/>
  <c r="GL463" i="1"/>
  <c r="GN463" i="1"/>
  <c r="GO463" i="1"/>
  <c r="GV463" i="1"/>
  <c r="HC463" i="1" s="1"/>
  <c r="GX463" i="1" s="1"/>
  <c r="D464" i="1"/>
  <c r="AC464" i="1"/>
  <c r="AE464" i="1"/>
  <c r="AF464" i="1"/>
  <c r="AG464" i="1"/>
  <c r="CU464" i="1" s="1"/>
  <c r="T464" i="1" s="1"/>
  <c r="AH464" i="1"/>
  <c r="CV464" i="1" s="1"/>
  <c r="U464" i="1" s="1"/>
  <c r="AI464" i="1"/>
  <c r="CW464" i="1" s="1"/>
  <c r="V464" i="1" s="1"/>
  <c r="AJ464" i="1"/>
  <c r="CX464" i="1" s="1"/>
  <c r="W464" i="1" s="1"/>
  <c r="CS464" i="1"/>
  <c r="CT464" i="1"/>
  <c r="S464" i="1" s="1"/>
  <c r="FR464" i="1"/>
  <c r="GL464" i="1"/>
  <c r="GN464" i="1"/>
  <c r="GO464" i="1"/>
  <c r="GV464" i="1"/>
  <c r="HC464" i="1"/>
  <c r="GX464" i="1" s="1"/>
  <c r="D465" i="1"/>
  <c r="I465" i="1"/>
  <c r="K465" i="1"/>
  <c r="AC465" i="1"/>
  <c r="AE465" i="1"/>
  <c r="AF465" i="1"/>
  <c r="AG465" i="1"/>
  <c r="AH465" i="1"/>
  <c r="AI465" i="1"/>
  <c r="CW465" i="1" s="1"/>
  <c r="AJ465" i="1"/>
  <c r="CU465" i="1"/>
  <c r="CV465" i="1"/>
  <c r="CX465" i="1"/>
  <c r="W465" i="1" s="1"/>
  <c r="FR465" i="1"/>
  <c r="GL465" i="1"/>
  <c r="GN465" i="1"/>
  <c r="GO465" i="1"/>
  <c r="GV465" i="1"/>
  <c r="HC465" i="1" s="1"/>
  <c r="D466" i="1"/>
  <c r="AC466" i="1"/>
  <c r="CQ466" i="1" s="1"/>
  <c r="P466" i="1" s="1"/>
  <c r="AE466" i="1"/>
  <c r="AF466" i="1"/>
  <c r="CT466" i="1" s="1"/>
  <c r="S466" i="1" s="1"/>
  <c r="AG466" i="1"/>
  <c r="CU466" i="1" s="1"/>
  <c r="T466" i="1" s="1"/>
  <c r="AH466" i="1"/>
  <c r="CV466" i="1" s="1"/>
  <c r="U466" i="1" s="1"/>
  <c r="AI466" i="1"/>
  <c r="CW466" i="1" s="1"/>
  <c r="V466" i="1" s="1"/>
  <c r="AJ466" i="1"/>
  <c r="CX466" i="1" s="1"/>
  <c r="W466" i="1" s="1"/>
  <c r="FR466" i="1"/>
  <c r="GL466" i="1"/>
  <c r="GN466" i="1"/>
  <c r="GO466" i="1"/>
  <c r="GV466" i="1"/>
  <c r="HC466" i="1" s="1"/>
  <c r="GX466" i="1" s="1"/>
  <c r="D467" i="1"/>
  <c r="V467" i="1"/>
  <c r="AC467" i="1"/>
  <c r="CQ467" i="1" s="1"/>
  <c r="P467" i="1" s="1"/>
  <c r="AD467" i="1"/>
  <c r="AE467" i="1"/>
  <c r="AF467" i="1"/>
  <c r="AG467" i="1"/>
  <c r="AH467" i="1"/>
  <c r="CV467" i="1" s="1"/>
  <c r="U467" i="1" s="1"/>
  <c r="AI467" i="1"/>
  <c r="CW467" i="1" s="1"/>
  <c r="AJ467" i="1"/>
  <c r="CS467" i="1"/>
  <c r="CU467" i="1"/>
  <c r="T467" i="1" s="1"/>
  <c r="CX467" i="1"/>
  <c r="W467" i="1" s="1"/>
  <c r="FR467" i="1"/>
  <c r="GL467" i="1"/>
  <c r="GN467" i="1"/>
  <c r="GO467" i="1"/>
  <c r="CC469" i="1" s="1"/>
  <c r="AT469" i="1" s="1"/>
  <c r="GV467" i="1"/>
  <c r="HC467" i="1" s="1"/>
  <c r="GX467" i="1" s="1"/>
  <c r="B469" i="1"/>
  <c r="B458" i="1" s="1"/>
  <c r="C469" i="1"/>
  <c r="D469" i="1"/>
  <c r="D458" i="1" s="1"/>
  <c r="F469" i="1"/>
  <c r="F458" i="1" s="1"/>
  <c r="G469" i="1"/>
  <c r="BC469" i="1"/>
  <c r="BX469" i="1"/>
  <c r="BX458" i="1" s="1"/>
  <c r="CK469" i="1"/>
  <c r="CL469" i="1"/>
  <c r="CL458" i="1" s="1"/>
  <c r="CM469" i="1"/>
  <c r="CM458" i="1" s="1"/>
  <c r="D499" i="1"/>
  <c r="E501" i="1"/>
  <c r="Z501" i="1"/>
  <c r="AA501" i="1"/>
  <c r="AM501" i="1"/>
  <c r="AN501" i="1"/>
  <c r="BE501" i="1"/>
  <c r="BF501" i="1"/>
  <c r="BG501" i="1"/>
  <c r="BH501" i="1"/>
  <c r="BI501" i="1"/>
  <c r="BJ501" i="1"/>
  <c r="BK501" i="1"/>
  <c r="BL501" i="1"/>
  <c r="BM501" i="1"/>
  <c r="BN501" i="1"/>
  <c r="BO501" i="1"/>
  <c r="BP501" i="1"/>
  <c r="BQ501" i="1"/>
  <c r="BR501" i="1"/>
  <c r="BS501" i="1"/>
  <c r="BT501" i="1"/>
  <c r="BU501" i="1"/>
  <c r="BV501" i="1"/>
  <c r="BW501" i="1"/>
  <c r="CN501" i="1"/>
  <c r="CO501" i="1"/>
  <c r="CP501" i="1"/>
  <c r="CQ501" i="1"/>
  <c r="CR501" i="1"/>
  <c r="CS501" i="1"/>
  <c r="CT501" i="1"/>
  <c r="CU501" i="1"/>
  <c r="CV501" i="1"/>
  <c r="CW501" i="1"/>
  <c r="CX501" i="1"/>
  <c r="CY501" i="1"/>
  <c r="CZ501" i="1"/>
  <c r="DA501" i="1"/>
  <c r="DB501" i="1"/>
  <c r="DC501" i="1"/>
  <c r="DD501" i="1"/>
  <c r="DE501" i="1"/>
  <c r="DF501" i="1"/>
  <c r="DG501" i="1"/>
  <c r="DH501" i="1"/>
  <c r="DI501" i="1"/>
  <c r="DJ501" i="1"/>
  <c r="DK501" i="1"/>
  <c r="DL501" i="1"/>
  <c r="DM501" i="1"/>
  <c r="DN501" i="1"/>
  <c r="DO501" i="1"/>
  <c r="DP501" i="1"/>
  <c r="DQ501" i="1"/>
  <c r="DR501" i="1"/>
  <c r="DS501" i="1"/>
  <c r="DT501" i="1"/>
  <c r="DU501" i="1"/>
  <c r="DV501" i="1"/>
  <c r="DW501" i="1"/>
  <c r="DX501" i="1"/>
  <c r="DY501" i="1"/>
  <c r="DZ501" i="1"/>
  <c r="EA501" i="1"/>
  <c r="EB501" i="1"/>
  <c r="EC501" i="1"/>
  <c r="ED501" i="1"/>
  <c r="EE501" i="1"/>
  <c r="EF501" i="1"/>
  <c r="EG501" i="1"/>
  <c r="EH501" i="1"/>
  <c r="EI501" i="1"/>
  <c r="EJ501" i="1"/>
  <c r="EK501" i="1"/>
  <c r="EL501" i="1"/>
  <c r="EM501" i="1"/>
  <c r="EN501" i="1"/>
  <c r="EO501" i="1"/>
  <c r="EP501" i="1"/>
  <c r="EQ501" i="1"/>
  <c r="ER501" i="1"/>
  <c r="ES501" i="1"/>
  <c r="ET501" i="1"/>
  <c r="EU501" i="1"/>
  <c r="EV501" i="1"/>
  <c r="EW501" i="1"/>
  <c r="EX501" i="1"/>
  <c r="EY501" i="1"/>
  <c r="EZ501" i="1"/>
  <c r="FA501" i="1"/>
  <c r="FB501" i="1"/>
  <c r="FC501" i="1"/>
  <c r="FD501" i="1"/>
  <c r="FE501" i="1"/>
  <c r="FF501" i="1"/>
  <c r="FG501" i="1"/>
  <c r="FH501" i="1"/>
  <c r="FI501" i="1"/>
  <c r="FJ501" i="1"/>
  <c r="FK501" i="1"/>
  <c r="FL501" i="1"/>
  <c r="FM501" i="1"/>
  <c r="FN501" i="1"/>
  <c r="FO501" i="1"/>
  <c r="FP501" i="1"/>
  <c r="FQ501" i="1"/>
  <c r="FR501" i="1"/>
  <c r="FS501" i="1"/>
  <c r="FT501" i="1"/>
  <c r="FU501" i="1"/>
  <c r="FV501" i="1"/>
  <c r="FW501" i="1"/>
  <c r="FX501" i="1"/>
  <c r="FY501" i="1"/>
  <c r="FZ501" i="1"/>
  <c r="GA501" i="1"/>
  <c r="GB501" i="1"/>
  <c r="GC501" i="1"/>
  <c r="GD501" i="1"/>
  <c r="GE501" i="1"/>
  <c r="GF501" i="1"/>
  <c r="GG501" i="1"/>
  <c r="GH501" i="1"/>
  <c r="GI501" i="1"/>
  <c r="GJ501" i="1"/>
  <c r="GK501" i="1"/>
  <c r="GL501" i="1"/>
  <c r="GM501" i="1"/>
  <c r="GN501" i="1"/>
  <c r="GO501" i="1"/>
  <c r="GP501" i="1"/>
  <c r="GQ501" i="1"/>
  <c r="GR501" i="1"/>
  <c r="GS501" i="1"/>
  <c r="GT501" i="1"/>
  <c r="GU501" i="1"/>
  <c r="GV501" i="1"/>
  <c r="GW501" i="1"/>
  <c r="GX501" i="1"/>
  <c r="D503" i="1"/>
  <c r="AC503" i="1"/>
  <c r="AE503" i="1"/>
  <c r="AF503" i="1"/>
  <c r="AG503" i="1"/>
  <c r="CU503" i="1" s="1"/>
  <c r="T503" i="1" s="1"/>
  <c r="AH503" i="1"/>
  <c r="CV503" i="1" s="1"/>
  <c r="U503" i="1" s="1"/>
  <c r="AI503" i="1"/>
  <c r="CW503" i="1" s="1"/>
  <c r="V503" i="1" s="1"/>
  <c r="AJ503" i="1"/>
  <c r="CX503" i="1" s="1"/>
  <c r="W503" i="1" s="1"/>
  <c r="CR503" i="1"/>
  <c r="Q503" i="1" s="1"/>
  <c r="CS503" i="1"/>
  <c r="FR503" i="1"/>
  <c r="GL503" i="1"/>
  <c r="GN503" i="1"/>
  <c r="GO503" i="1"/>
  <c r="GV503" i="1"/>
  <c r="HC503" i="1" s="1"/>
  <c r="GX503" i="1" s="1"/>
  <c r="D504" i="1"/>
  <c r="R504" i="1"/>
  <c r="GK504" i="1" s="1"/>
  <c r="AC504" i="1"/>
  <c r="CQ504" i="1" s="1"/>
  <c r="P504" i="1" s="1"/>
  <c r="AD504" i="1"/>
  <c r="AE504" i="1"/>
  <c r="AF504" i="1"/>
  <c r="AG504" i="1"/>
  <c r="CU504" i="1" s="1"/>
  <c r="T504" i="1" s="1"/>
  <c r="AH504" i="1"/>
  <c r="CV504" i="1" s="1"/>
  <c r="U504" i="1" s="1"/>
  <c r="AI504" i="1"/>
  <c r="AJ504" i="1"/>
  <c r="CX504" i="1" s="1"/>
  <c r="W504" i="1" s="1"/>
  <c r="CR504" i="1"/>
  <c r="Q504" i="1" s="1"/>
  <c r="CS504" i="1"/>
  <c r="CT504" i="1"/>
  <c r="S504" i="1" s="1"/>
  <c r="CW504" i="1"/>
  <c r="V504" i="1" s="1"/>
  <c r="FR504" i="1"/>
  <c r="GL504" i="1"/>
  <c r="GN504" i="1"/>
  <c r="GO504" i="1"/>
  <c r="GV504" i="1"/>
  <c r="HC504" i="1"/>
  <c r="GX504" i="1" s="1"/>
  <c r="D505" i="1"/>
  <c r="AC505" i="1"/>
  <c r="AD505" i="1"/>
  <c r="AE505" i="1"/>
  <c r="AF505" i="1"/>
  <c r="CT505" i="1" s="1"/>
  <c r="S505" i="1" s="1"/>
  <c r="CY505" i="1" s="1"/>
  <c r="X505" i="1" s="1"/>
  <c r="AG505" i="1"/>
  <c r="AH505" i="1"/>
  <c r="AI505" i="1"/>
  <c r="CW505" i="1" s="1"/>
  <c r="V505" i="1" s="1"/>
  <c r="AJ505" i="1"/>
  <c r="CX505" i="1" s="1"/>
  <c r="W505" i="1" s="1"/>
  <c r="CR505" i="1"/>
  <c r="Q505" i="1" s="1"/>
  <c r="CS505" i="1"/>
  <c r="R505" i="1" s="1"/>
  <c r="GK505" i="1" s="1"/>
  <c r="CU505" i="1"/>
  <c r="T505" i="1" s="1"/>
  <c r="CV505" i="1"/>
  <c r="U505" i="1" s="1"/>
  <c r="CZ505" i="1"/>
  <c r="Y505" i="1" s="1"/>
  <c r="FR505" i="1"/>
  <c r="GL505" i="1"/>
  <c r="GN505" i="1"/>
  <c r="GO505" i="1"/>
  <c r="GV505" i="1"/>
  <c r="HC505" i="1" s="1"/>
  <c r="GX505" i="1" s="1"/>
  <c r="D506" i="1"/>
  <c r="I506" i="1"/>
  <c r="K506" i="1"/>
  <c r="AC506" i="1"/>
  <c r="AE506" i="1"/>
  <c r="AF506" i="1"/>
  <c r="AG506" i="1"/>
  <c r="CU506" i="1" s="1"/>
  <c r="AH506" i="1"/>
  <c r="CV506" i="1" s="1"/>
  <c r="AI506" i="1"/>
  <c r="CW506" i="1" s="1"/>
  <c r="AJ506" i="1"/>
  <c r="CR506" i="1"/>
  <c r="CX506" i="1"/>
  <c r="FR506" i="1"/>
  <c r="GL506" i="1"/>
  <c r="GN506" i="1"/>
  <c r="GO506" i="1"/>
  <c r="GV506" i="1"/>
  <c r="HC506" i="1" s="1"/>
  <c r="GX506" i="1"/>
  <c r="D507" i="1"/>
  <c r="I507" i="1"/>
  <c r="K507" i="1"/>
  <c r="AC507" i="1"/>
  <c r="CQ507" i="1" s="1"/>
  <c r="P507" i="1" s="1"/>
  <c r="AE507" i="1"/>
  <c r="AF507" i="1"/>
  <c r="AG507" i="1"/>
  <c r="AH507" i="1"/>
  <c r="CV507" i="1" s="1"/>
  <c r="U507" i="1" s="1"/>
  <c r="AI507" i="1"/>
  <c r="CW507" i="1" s="1"/>
  <c r="AJ507" i="1"/>
  <c r="CX507" i="1" s="1"/>
  <c r="W507" i="1" s="1"/>
  <c r="CT507" i="1"/>
  <c r="S507" i="1" s="1"/>
  <c r="CU507" i="1"/>
  <c r="FR507" i="1"/>
  <c r="GL507" i="1"/>
  <c r="GN507" i="1"/>
  <c r="GO507" i="1"/>
  <c r="GV507" i="1"/>
  <c r="HC507" i="1" s="1"/>
  <c r="GX507" i="1" s="1"/>
  <c r="D508" i="1"/>
  <c r="I508" i="1"/>
  <c r="K508" i="1"/>
  <c r="AC508" i="1"/>
  <c r="CQ508" i="1" s="1"/>
  <c r="AD508" i="1"/>
  <c r="AE508" i="1"/>
  <c r="CR508" i="1" s="1"/>
  <c r="AF508" i="1"/>
  <c r="CT508" i="1" s="1"/>
  <c r="S508" i="1" s="1"/>
  <c r="AG508" i="1"/>
  <c r="AH508" i="1"/>
  <c r="CV508" i="1" s="1"/>
  <c r="U508" i="1" s="1"/>
  <c r="AI508" i="1"/>
  <c r="AJ508" i="1"/>
  <c r="CX508" i="1" s="1"/>
  <c r="CU508" i="1"/>
  <c r="T508" i="1" s="1"/>
  <c r="CW508" i="1"/>
  <c r="V508" i="1" s="1"/>
  <c r="FR508" i="1"/>
  <c r="GL508" i="1"/>
  <c r="GN508" i="1"/>
  <c r="GO508" i="1"/>
  <c r="GV508" i="1"/>
  <c r="HC508" i="1" s="1"/>
  <c r="D509" i="1"/>
  <c r="I509" i="1"/>
  <c r="K509" i="1"/>
  <c r="U509" i="1"/>
  <c r="AC509" i="1"/>
  <c r="CQ509" i="1" s="1"/>
  <c r="P509" i="1" s="1"/>
  <c r="AE509" i="1"/>
  <c r="AD509" i="1" s="1"/>
  <c r="AF509" i="1"/>
  <c r="CT509" i="1" s="1"/>
  <c r="AG509" i="1"/>
  <c r="CU509" i="1" s="1"/>
  <c r="T509" i="1" s="1"/>
  <c r="AH509" i="1"/>
  <c r="CV509" i="1" s="1"/>
  <c r="AI509" i="1"/>
  <c r="AJ509" i="1"/>
  <c r="CX509" i="1" s="1"/>
  <c r="CR509" i="1"/>
  <c r="Q509" i="1" s="1"/>
  <c r="CS509" i="1"/>
  <c r="R509" i="1" s="1"/>
  <c r="GK509" i="1" s="1"/>
  <c r="CW509" i="1"/>
  <c r="V509" i="1" s="1"/>
  <c r="FR509" i="1"/>
  <c r="GL509" i="1"/>
  <c r="GN509" i="1"/>
  <c r="GO509" i="1"/>
  <c r="GV509" i="1"/>
  <c r="HC509" i="1" s="1"/>
  <c r="GX509" i="1" s="1"/>
  <c r="D510" i="1"/>
  <c r="I510" i="1"/>
  <c r="K510" i="1"/>
  <c r="AC510" i="1"/>
  <c r="AE510" i="1"/>
  <c r="AF510" i="1"/>
  <c r="CT510" i="1" s="1"/>
  <c r="S510" i="1" s="1"/>
  <c r="CZ510" i="1" s="1"/>
  <c r="Y510" i="1" s="1"/>
  <c r="AG510" i="1"/>
  <c r="CU510" i="1" s="1"/>
  <c r="T510" i="1" s="1"/>
  <c r="AH510" i="1"/>
  <c r="CV510" i="1" s="1"/>
  <c r="AI510" i="1"/>
  <c r="AJ510" i="1"/>
  <c r="CW510" i="1"/>
  <c r="V510" i="1" s="1"/>
  <c r="CX510" i="1"/>
  <c r="W510" i="1" s="1"/>
  <c r="FR510" i="1"/>
  <c r="GL510" i="1"/>
  <c r="GN510" i="1"/>
  <c r="GO510" i="1"/>
  <c r="GV510" i="1"/>
  <c r="HC510" i="1" s="1"/>
  <c r="GX510" i="1" s="1"/>
  <c r="D511" i="1"/>
  <c r="I511" i="1"/>
  <c r="K511" i="1"/>
  <c r="AC511" i="1"/>
  <c r="AE511" i="1"/>
  <c r="CS511" i="1" s="1"/>
  <c r="AF511" i="1"/>
  <c r="CT511" i="1" s="1"/>
  <c r="S511" i="1" s="1"/>
  <c r="AG511" i="1"/>
  <c r="CU511" i="1" s="1"/>
  <c r="T511" i="1" s="1"/>
  <c r="AH511" i="1"/>
  <c r="CV511" i="1" s="1"/>
  <c r="U511" i="1" s="1"/>
  <c r="AI511" i="1"/>
  <c r="CW511" i="1" s="1"/>
  <c r="V511" i="1" s="1"/>
  <c r="AJ511" i="1"/>
  <c r="CX511" i="1" s="1"/>
  <c r="CQ511" i="1"/>
  <c r="P511" i="1" s="1"/>
  <c r="CR511" i="1"/>
  <c r="Q511" i="1" s="1"/>
  <c r="FR511" i="1"/>
  <c r="GL511" i="1"/>
  <c r="GN511" i="1"/>
  <c r="GO511" i="1"/>
  <c r="GV511" i="1"/>
  <c r="HC511" i="1" s="1"/>
  <c r="GX511" i="1"/>
  <c r="D512" i="1"/>
  <c r="I512" i="1"/>
  <c r="K512" i="1"/>
  <c r="Q512" i="1"/>
  <c r="AC512" i="1"/>
  <c r="AE512" i="1"/>
  <c r="AD512" i="1" s="1"/>
  <c r="AF512" i="1"/>
  <c r="AG512" i="1"/>
  <c r="CU512" i="1" s="1"/>
  <c r="T512" i="1" s="1"/>
  <c r="AH512" i="1"/>
  <c r="CV512" i="1" s="1"/>
  <c r="AI512" i="1"/>
  <c r="CW512" i="1" s="1"/>
  <c r="V512" i="1" s="1"/>
  <c r="AJ512" i="1"/>
  <c r="CX512" i="1" s="1"/>
  <c r="W512" i="1" s="1"/>
  <c r="CQ512" i="1"/>
  <c r="P512" i="1" s="1"/>
  <c r="CR512" i="1"/>
  <c r="CT512" i="1"/>
  <c r="S512" i="1" s="1"/>
  <c r="FR512" i="1"/>
  <c r="GL512" i="1"/>
  <c r="GN512" i="1"/>
  <c r="GO512" i="1"/>
  <c r="GV512" i="1"/>
  <c r="HC512" i="1" s="1"/>
  <c r="GX512" i="1" s="1"/>
  <c r="D513" i="1"/>
  <c r="AC513" i="1"/>
  <c r="CQ513" i="1" s="1"/>
  <c r="P513" i="1" s="1"/>
  <c r="AD513" i="1"/>
  <c r="AE513" i="1"/>
  <c r="CR513" i="1" s="1"/>
  <c r="Q513" i="1" s="1"/>
  <c r="AF513" i="1"/>
  <c r="CT513" i="1" s="1"/>
  <c r="S513" i="1" s="1"/>
  <c r="AG513" i="1"/>
  <c r="CU513" i="1" s="1"/>
  <c r="T513" i="1" s="1"/>
  <c r="AH513" i="1"/>
  <c r="CV513" i="1" s="1"/>
  <c r="U513" i="1" s="1"/>
  <c r="AI513" i="1"/>
  <c r="AJ513" i="1"/>
  <c r="CX513" i="1" s="1"/>
  <c r="W513" i="1" s="1"/>
  <c r="CW513" i="1"/>
  <c r="V513" i="1" s="1"/>
  <c r="FR513" i="1"/>
  <c r="GL513" i="1"/>
  <c r="GN513" i="1"/>
  <c r="GO513" i="1"/>
  <c r="GV513" i="1"/>
  <c r="HC513" i="1"/>
  <c r="GX513" i="1" s="1"/>
  <c r="D514" i="1"/>
  <c r="I514" i="1"/>
  <c r="K514" i="1"/>
  <c r="AC514" i="1"/>
  <c r="CQ514" i="1" s="1"/>
  <c r="AE514" i="1"/>
  <c r="AF514" i="1"/>
  <c r="AG514" i="1"/>
  <c r="CU514" i="1" s="1"/>
  <c r="AH514" i="1"/>
  <c r="CV514" i="1" s="1"/>
  <c r="AI514" i="1"/>
  <c r="CW514" i="1" s="1"/>
  <c r="V514" i="1" s="1"/>
  <c r="AJ514" i="1"/>
  <c r="CX514" i="1" s="1"/>
  <c r="CR514" i="1"/>
  <c r="FR514" i="1"/>
  <c r="GL514" i="1"/>
  <c r="GN514" i="1"/>
  <c r="GO514" i="1"/>
  <c r="GV514" i="1"/>
  <c r="HC514" i="1" s="1"/>
  <c r="D515" i="1"/>
  <c r="I515" i="1"/>
  <c r="K515" i="1"/>
  <c r="AC515" i="1"/>
  <c r="AE515" i="1"/>
  <c r="AF515" i="1"/>
  <c r="AG515" i="1"/>
  <c r="CU515" i="1" s="1"/>
  <c r="T515" i="1" s="1"/>
  <c r="AH515" i="1"/>
  <c r="AI515" i="1"/>
  <c r="AJ515" i="1"/>
  <c r="CX515" i="1" s="1"/>
  <c r="W515" i="1" s="1"/>
  <c r="CQ515" i="1"/>
  <c r="P515" i="1" s="1"/>
  <c r="CV515" i="1"/>
  <c r="U515" i="1" s="1"/>
  <c r="CW515" i="1"/>
  <c r="V515" i="1" s="1"/>
  <c r="FR515" i="1"/>
  <c r="GL515" i="1"/>
  <c r="GN515" i="1"/>
  <c r="GO515" i="1"/>
  <c r="GV515" i="1"/>
  <c r="HC515" i="1" s="1"/>
  <c r="GX515" i="1" s="1"/>
  <c r="D516" i="1"/>
  <c r="I516" i="1"/>
  <c r="K516" i="1"/>
  <c r="AC516" i="1"/>
  <c r="AE516" i="1"/>
  <c r="AF516" i="1"/>
  <c r="AG516" i="1"/>
  <c r="CU516" i="1" s="1"/>
  <c r="T516" i="1" s="1"/>
  <c r="AH516" i="1"/>
  <c r="AI516" i="1"/>
  <c r="CW516" i="1" s="1"/>
  <c r="V516" i="1" s="1"/>
  <c r="AJ516" i="1"/>
  <c r="CX516" i="1" s="1"/>
  <c r="W516" i="1" s="1"/>
  <c r="CT516" i="1"/>
  <c r="S516" i="1" s="1"/>
  <c r="CV516" i="1"/>
  <c r="U516" i="1" s="1"/>
  <c r="FR516" i="1"/>
  <c r="GL516" i="1"/>
  <c r="GN516" i="1"/>
  <c r="GO516" i="1"/>
  <c r="GV516" i="1"/>
  <c r="HC516" i="1" s="1"/>
  <c r="GX516" i="1" s="1"/>
  <c r="D517" i="1"/>
  <c r="I517" i="1"/>
  <c r="K517" i="1"/>
  <c r="AC517" i="1"/>
  <c r="AD517" i="1"/>
  <c r="AE517" i="1"/>
  <c r="CS517" i="1" s="1"/>
  <c r="AF517" i="1"/>
  <c r="AG517" i="1"/>
  <c r="CU517" i="1" s="1"/>
  <c r="T517" i="1" s="1"/>
  <c r="AH517" i="1"/>
  <c r="CV517" i="1" s="1"/>
  <c r="U517" i="1" s="1"/>
  <c r="AI517" i="1"/>
  <c r="CW517" i="1" s="1"/>
  <c r="V517" i="1" s="1"/>
  <c r="AJ517" i="1"/>
  <c r="CR517" i="1"/>
  <c r="Q517" i="1" s="1"/>
  <c r="CX517" i="1"/>
  <c r="W517" i="1" s="1"/>
  <c r="FR517" i="1"/>
  <c r="GL517" i="1"/>
  <c r="GN517" i="1"/>
  <c r="GO517" i="1"/>
  <c r="GV517" i="1"/>
  <c r="HC517" i="1" s="1"/>
  <c r="GX517" i="1" s="1"/>
  <c r="D518" i="1"/>
  <c r="I518" i="1"/>
  <c r="K518" i="1"/>
  <c r="AB518" i="1"/>
  <c r="AC518" i="1"/>
  <c r="AE518" i="1"/>
  <c r="AD518" i="1" s="1"/>
  <c r="AF518" i="1"/>
  <c r="CT518" i="1" s="1"/>
  <c r="S518" i="1" s="1"/>
  <c r="AG518" i="1"/>
  <c r="CU518" i="1" s="1"/>
  <c r="T518" i="1" s="1"/>
  <c r="AH518" i="1"/>
  <c r="AI518" i="1"/>
  <c r="AJ518" i="1"/>
  <c r="CX518" i="1" s="1"/>
  <c r="W518" i="1" s="1"/>
  <c r="CQ518" i="1"/>
  <c r="P518" i="1" s="1"/>
  <c r="CR518" i="1"/>
  <c r="Q518" i="1" s="1"/>
  <c r="CV518" i="1"/>
  <c r="U518" i="1" s="1"/>
  <c r="CW518" i="1"/>
  <c r="V518" i="1" s="1"/>
  <c r="FR518" i="1"/>
  <c r="GL518" i="1"/>
  <c r="GN518" i="1"/>
  <c r="GO518" i="1"/>
  <c r="GV518" i="1"/>
  <c r="HC518" i="1" s="1"/>
  <c r="GX518" i="1" s="1"/>
  <c r="D519" i="1"/>
  <c r="I519" i="1"/>
  <c r="K519" i="1"/>
  <c r="AC519" i="1"/>
  <c r="CQ519" i="1" s="1"/>
  <c r="P519" i="1" s="1"/>
  <c r="AE519" i="1"/>
  <c r="AF519" i="1"/>
  <c r="CT519" i="1" s="1"/>
  <c r="S519" i="1" s="1"/>
  <c r="AG519" i="1"/>
  <c r="CU519" i="1" s="1"/>
  <c r="T519" i="1" s="1"/>
  <c r="AH519" i="1"/>
  <c r="CV519" i="1" s="1"/>
  <c r="U519" i="1" s="1"/>
  <c r="AI519" i="1"/>
  <c r="AJ519" i="1"/>
  <c r="CX519" i="1" s="1"/>
  <c r="W519" i="1" s="1"/>
  <c r="CW519" i="1"/>
  <c r="V519" i="1" s="1"/>
  <c r="FR519" i="1"/>
  <c r="GL519" i="1"/>
  <c r="GN519" i="1"/>
  <c r="GO519" i="1"/>
  <c r="GV519" i="1"/>
  <c r="HC519" i="1" s="1"/>
  <c r="GX519" i="1" s="1"/>
  <c r="D520" i="1"/>
  <c r="I520" i="1"/>
  <c r="K520" i="1"/>
  <c r="AC520" i="1"/>
  <c r="AE520" i="1"/>
  <c r="AF520" i="1"/>
  <c r="AG520" i="1"/>
  <c r="CU520" i="1" s="1"/>
  <c r="T520" i="1" s="1"/>
  <c r="AH520" i="1"/>
  <c r="AI520" i="1"/>
  <c r="CW520" i="1" s="1"/>
  <c r="V520" i="1" s="1"/>
  <c r="AJ520" i="1"/>
  <c r="CX520" i="1" s="1"/>
  <c r="W520" i="1" s="1"/>
  <c r="CV520" i="1"/>
  <c r="U520" i="1" s="1"/>
  <c r="FR520" i="1"/>
  <c r="GL520" i="1"/>
  <c r="GN520" i="1"/>
  <c r="GO520" i="1"/>
  <c r="GV520" i="1"/>
  <c r="HC520" i="1" s="1"/>
  <c r="D521" i="1"/>
  <c r="I521" i="1"/>
  <c r="K521" i="1"/>
  <c r="AC521" i="1"/>
  <c r="AD521" i="1"/>
  <c r="AE521" i="1"/>
  <c r="CS521" i="1" s="1"/>
  <c r="R521" i="1" s="1"/>
  <c r="GK521" i="1" s="1"/>
  <c r="AF521" i="1"/>
  <c r="CT521" i="1" s="1"/>
  <c r="S521" i="1" s="1"/>
  <c r="AG521" i="1"/>
  <c r="CU521" i="1" s="1"/>
  <c r="T521" i="1" s="1"/>
  <c r="AH521" i="1"/>
  <c r="CV521" i="1" s="1"/>
  <c r="U521" i="1" s="1"/>
  <c r="AI521" i="1"/>
  <c r="CW521" i="1" s="1"/>
  <c r="V521" i="1" s="1"/>
  <c r="AJ521" i="1"/>
  <c r="CR521" i="1"/>
  <c r="Q521" i="1" s="1"/>
  <c r="CX521" i="1"/>
  <c r="W521" i="1" s="1"/>
  <c r="FR521" i="1"/>
  <c r="GL521" i="1"/>
  <c r="GN521" i="1"/>
  <c r="GO521" i="1"/>
  <c r="GV521" i="1"/>
  <c r="HC521" i="1" s="1"/>
  <c r="GX521" i="1" s="1"/>
  <c r="D522" i="1"/>
  <c r="I522" i="1"/>
  <c r="K522" i="1"/>
  <c r="AC522" i="1"/>
  <c r="AE522" i="1"/>
  <c r="AF522" i="1"/>
  <c r="AG522" i="1"/>
  <c r="CU522" i="1" s="1"/>
  <c r="T522" i="1" s="1"/>
  <c r="AH522" i="1"/>
  <c r="CV522" i="1" s="1"/>
  <c r="U522" i="1" s="1"/>
  <c r="AI522" i="1"/>
  <c r="AJ522" i="1"/>
  <c r="CX522" i="1" s="1"/>
  <c r="W522" i="1" s="1"/>
  <c r="CQ522" i="1"/>
  <c r="P522" i="1" s="1"/>
  <c r="CR522" i="1"/>
  <c r="Q522" i="1" s="1"/>
  <c r="CW522" i="1"/>
  <c r="V522" i="1" s="1"/>
  <c r="FR522" i="1"/>
  <c r="GL522" i="1"/>
  <c r="GN522" i="1"/>
  <c r="GO522" i="1"/>
  <c r="GV522" i="1"/>
  <c r="HC522" i="1" s="1"/>
  <c r="GX522" i="1" s="1"/>
  <c r="D523" i="1"/>
  <c r="I523" i="1"/>
  <c r="K523" i="1"/>
  <c r="AC523" i="1"/>
  <c r="AE523" i="1"/>
  <c r="AF523" i="1"/>
  <c r="CT523" i="1" s="1"/>
  <c r="S523" i="1" s="1"/>
  <c r="AG523" i="1"/>
  <c r="AH523" i="1"/>
  <c r="AI523" i="1"/>
  <c r="AJ523" i="1"/>
  <c r="CX523" i="1" s="1"/>
  <c r="CQ523" i="1"/>
  <c r="P523" i="1" s="1"/>
  <c r="CU523" i="1"/>
  <c r="CV523" i="1"/>
  <c r="CW523" i="1"/>
  <c r="V523" i="1" s="1"/>
  <c r="FR523" i="1"/>
  <c r="GL523" i="1"/>
  <c r="GN523" i="1"/>
  <c r="GO523" i="1"/>
  <c r="GV523" i="1"/>
  <c r="HC523" i="1"/>
  <c r="D524" i="1"/>
  <c r="I524" i="1"/>
  <c r="K524" i="1"/>
  <c r="W524" i="1"/>
  <c r="AC524" i="1"/>
  <c r="CQ524" i="1" s="1"/>
  <c r="P524" i="1" s="1"/>
  <c r="AE524" i="1"/>
  <c r="AF524" i="1"/>
  <c r="AG524" i="1"/>
  <c r="CU524" i="1" s="1"/>
  <c r="T524" i="1" s="1"/>
  <c r="AH524" i="1"/>
  <c r="AI524" i="1"/>
  <c r="CW524" i="1" s="1"/>
  <c r="V524" i="1" s="1"/>
  <c r="AJ524" i="1"/>
  <c r="CV524" i="1"/>
  <c r="U524" i="1" s="1"/>
  <c r="CX524" i="1"/>
  <c r="FR524" i="1"/>
  <c r="GL524" i="1"/>
  <c r="GN524" i="1"/>
  <c r="GO524" i="1"/>
  <c r="GV524" i="1"/>
  <c r="HC524" i="1" s="1"/>
  <c r="GX524" i="1"/>
  <c r="D525" i="1"/>
  <c r="I525" i="1"/>
  <c r="K525" i="1"/>
  <c r="AC525" i="1"/>
  <c r="AE525" i="1"/>
  <c r="AD525" i="1" s="1"/>
  <c r="AF525" i="1"/>
  <c r="CT525" i="1" s="1"/>
  <c r="S525" i="1" s="1"/>
  <c r="AG525" i="1"/>
  <c r="CU525" i="1" s="1"/>
  <c r="T525" i="1" s="1"/>
  <c r="AH525" i="1"/>
  <c r="CV525" i="1" s="1"/>
  <c r="U525" i="1" s="1"/>
  <c r="AI525" i="1"/>
  <c r="AJ525" i="1"/>
  <c r="CW525" i="1"/>
  <c r="V525" i="1" s="1"/>
  <c r="CX525" i="1"/>
  <c r="W525" i="1" s="1"/>
  <c r="FR525" i="1"/>
  <c r="GL525" i="1"/>
  <c r="GN525" i="1"/>
  <c r="GO525" i="1"/>
  <c r="GV525" i="1"/>
  <c r="HC525" i="1" s="1"/>
  <c r="GX525" i="1" s="1"/>
  <c r="D526" i="1"/>
  <c r="I526" i="1"/>
  <c r="K526" i="1"/>
  <c r="AC526" i="1"/>
  <c r="CQ526" i="1" s="1"/>
  <c r="P526" i="1" s="1"/>
  <c r="AE526" i="1"/>
  <c r="CR526" i="1" s="1"/>
  <c r="Q526" i="1" s="1"/>
  <c r="AF526" i="1"/>
  <c r="AG526" i="1"/>
  <c r="CU526" i="1" s="1"/>
  <c r="T526" i="1" s="1"/>
  <c r="AH526" i="1"/>
  <c r="AI526" i="1"/>
  <c r="CW526" i="1" s="1"/>
  <c r="V526" i="1" s="1"/>
  <c r="AJ526" i="1"/>
  <c r="CX526" i="1" s="1"/>
  <c r="CV526" i="1"/>
  <c r="U526" i="1" s="1"/>
  <c r="FR526" i="1"/>
  <c r="GL526" i="1"/>
  <c r="GN526" i="1"/>
  <c r="GO526" i="1"/>
  <c r="GV526" i="1"/>
  <c r="HC526" i="1" s="1"/>
  <c r="D527" i="1"/>
  <c r="I527" i="1"/>
  <c r="K527" i="1"/>
  <c r="AC527" i="1"/>
  <c r="CQ527" i="1" s="1"/>
  <c r="P527" i="1" s="1"/>
  <c r="AE527" i="1"/>
  <c r="AF527" i="1"/>
  <c r="CT527" i="1" s="1"/>
  <c r="S527" i="1" s="1"/>
  <c r="AG527" i="1"/>
  <c r="CU527" i="1" s="1"/>
  <c r="T527" i="1" s="1"/>
  <c r="AH527" i="1"/>
  <c r="CV527" i="1" s="1"/>
  <c r="U527" i="1" s="1"/>
  <c r="AI527" i="1"/>
  <c r="CW527" i="1" s="1"/>
  <c r="V527" i="1" s="1"/>
  <c r="AJ527" i="1"/>
  <c r="CX527" i="1" s="1"/>
  <c r="W527" i="1" s="1"/>
  <c r="FR527" i="1"/>
  <c r="GL527" i="1"/>
  <c r="GN527" i="1"/>
  <c r="GO527" i="1"/>
  <c r="GV527" i="1"/>
  <c r="HC527" i="1"/>
  <c r="GX527" i="1" s="1"/>
  <c r="B529" i="1"/>
  <c r="B501" i="1" s="1"/>
  <c r="C529" i="1"/>
  <c r="C501" i="1" s="1"/>
  <c r="D529" i="1"/>
  <c r="D501" i="1" s="1"/>
  <c r="F529" i="1"/>
  <c r="F501" i="1" s="1"/>
  <c r="G529" i="1"/>
  <c r="BX529" i="1"/>
  <c r="CK529" i="1"/>
  <c r="CK501" i="1" s="1"/>
  <c r="CL529" i="1"/>
  <c r="CL501" i="1" s="1"/>
  <c r="CM529" i="1"/>
  <c r="CM501" i="1" s="1"/>
  <c r="B559" i="1"/>
  <c r="B401" i="1" s="1"/>
  <c r="C559" i="1"/>
  <c r="C401" i="1" s="1"/>
  <c r="D559" i="1"/>
  <c r="D401" i="1" s="1"/>
  <c r="F559" i="1"/>
  <c r="F401" i="1" s="1"/>
  <c r="G559" i="1"/>
  <c r="D589" i="1"/>
  <c r="E591" i="1"/>
  <c r="Z591" i="1"/>
  <c r="AA591" i="1"/>
  <c r="AB591" i="1"/>
  <c r="AC591" i="1"/>
  <c r="AD591" i="1"/>
  <c r="AE591" i="1"/>
  <c r="AF591" i="1"/>
  <c r="AG591" i="1"/>
  <c r="AH591" i="1"/>
  <c r="AI591" i="1"/>
  <c r="AJ591" i="1"/>
  <c r="AK591" i="1"/>
  <c r="AL591" i="1"/>
  <c r="AM591" i="1"/>
  <c r="AN591" i="1"/>
  <c r="BE591" i="1"/>
  <c r="BF591" i="1"/>
  <c r="BG591" i="1"/>
  <c r="BH591" i="1"/>
  <c r="BI591" i="1"/>
  <c r="BJ591" i="1"/>
  <c r="BK591" i="1"/>
  <c r="BL591" i="1"/>
  <c r="BM591" i="1"/>
  <c r="BN591" i="1"/>
  <c r="BO591" i="1"/>
  <c r="BP591" i="1"/>
  <c r="BQ591" i="1"/>
  <c r="BR591" i="1"/>
  <c r="BS591" i="1"/>
  <c r="BT591" i="1"/>
  <c r="BU591" i="1"/>
  <c r="BV591" i="1"/>
  <c r="BW591" i="1"/>
  <c r="BX591" i="1"/>
  <c r="BY591" i="1"/>
  <c r="BZ591" i="1"/>
  <c r="CA591" i="1"/>
  <c r="CB591" i="1"/>
  <c r="CC591" i="1"/>
  <c r="CD591" i="1"/>
  <c r="CE591" i="1"/>
  <c r="CF591" i="1"/>
  <c r="CG591" i="1"/>
  <c r="CH591" i="1"/>
  <c r="CI591" i="1"/>
  <c r="CJ591" i="1"/>
  <c r="CK591" i="1"/>
  <c r="CL591" i="1"/>
  <c r="CM591" i="1"/>
  <c r="CN591" i="1"/>
  <c r="CO591" i="1"/>
  <c r="CP591" i="1"/>
  <c r="CQ591" i="1"/>
  <c r="CR591" i="1"/>
  <c r="CS591" i="1"/>
  <c r="CT591" i="1"/>
  <c r="CU591" i="1"/>
  <c r="CV591" i="1"/>
  <c r="CW591" i="1"/>
  <c r="CX591" i="1"/>
  <c r="CY591" i="1"/>
  <c r="CZ591" i="1"/>
  <c r="DA591" i="1"/>
  <c r="DB591" i="1"/>
  <c r="DC591" i="1"/>
  <c r="DD591" i="1"/>
  <c r="DE591" i="1"/>
  <c r="DF591" i="1"/>
  <c r="DG591" i="1"/>
  <c r="DH591" i="1"/>
  <c r="DI591" i="1"/>
  <c r="DJ591" i="1"/>
  <c r="DK591" i="1"/>
  <c r="DL591" i="1"/>
  <c r="DM591" i="1"/>
  <c r="DN591" i="1"/>
  <c r="DO591" i="1"/>
  <c r="DP591" i="1"/>
  <c r="DQ591" i="1"/>
  <c r="DR591" i="1"/>
  <c r="DS591" i="1"/>
  <c r="DT591" i="1"/>
  <c r="DU591" i="1"/>
  <c r="DV591" i="1"/>
  <c r="DW591" i="1"/>
  <c r="DX591" i="1"/>
  <c r="DY591" i="1"/>
  <c r="DZ591" i="1"/>
  <c r="EA591" i="1"/>
  <c r="EB591" i="1"/>
  <c r="EC591" i="1"/>
  <c r="ED591" i="1"/>
  <c r="EE591" i="1"/>
  <c r="EF591" i="1"/>
  <c r="EG591" i="1"/>
  <c r="EH591" i="1"/>
  <c r="EI591" i="1"/>
  <c r="EJ591" i="1"/>
  <c r="EK591" i="1"/>
  <c r="EL591" i="1"/>
  <c r="EM591" i="1"/>
  <c r="EN591" i="1"/>
  <c r="EO591" i="1"/>
  <c r="EP591" i="1"/>
  <c r="EQ591" i="1"/>
  <c r="ER591" i="1"/>
  <c r="ES591" i="1"/>
  <c r="ET591" i="1"/>
  <c r="EU591" i="1"/>
  <c r="EV591" i="1"/>
  <c r="EW591" i="1"/>
  <c r="EX591" i="1"/>
  <c r="EY591" i="1"/>
  <c r="EZ591" i="1"/>
  <c r="FA591" i="1"/>
  <c r="FB591" i="1"/>
  <c r="FC591" i="1"/>
  <c r="FD591" i="1"/>
  <c r="FE591" i="1"/>
  <c r="FF591" i="1"/>
  <c r="FG591" i="1"/>
  <c r="FH591" i="1"/>
  <c r="FI591" i="1"/>
  <c r="FJ591" i="1"/>
  <c r="FK591" i="1"/>
  <c r="FL591" i="1"/>
  <c r="FM591" i="1"/>
  <c r="FN591" i="1"/>
  <c r="FO591" i="1"/>
  <c r="FP591" i="1"/>
  <c r="FQ591" i="1"/>
  <c r="FR591" i="1"/>
  <c r="FS591" i="1"/>
  <c r="FT591" i="1"/>
  <c r="FU591" i="1"/>
  <c r="FV591" i="1"/>
  <c r="FW591" i="1"/>
  <c r="FX591" i="1"/>
  <c r="FY591" i="1"/>
  <c r="FZ591" i="1"/>
  <c r="GA591" i="1"/>
  <c r="GB591" i="1"/>
  <c r="GC591" i="1"/>
  <c r="GD591" i="1"/>
  <c r="GE591" i="1"/>
  <c r="GF591" i="1"/>
  <c r="GG591" i="1"/>
  <c r="GH591" i="1"/>
  <c r="GI591" i="1"/>
  <c r="GJ591" i="1"/>
  <c r="GK591" i="1"/>
  <c r="GL591" i="1"/>
  <c r="GM591" i="1"/>
  <c r="GN591" i="1"/>
  <c r="GO591" i="1"/>
  <c r="GP591" i="1"/>
  <c r="GQ591" i="1"/>
  <c r="GR591" i="1"/>
  <c r="GS591" i="1"/>
  <c r="GT591" i="1"/>
  <c r="GU591" i="1"/>
  <c r="GV591" i="1"/>
  <c r="GW591" i="1"/>
  <c r="GX591" i="1"/>
  <c r="D593" i="1"/>
  <c r="E595" i="1"/>
  <c r="Z595" i="1"/>
  <c r="AA595" i="1"/>
  <c r="AM595" i="1"/>
  <c r="AN595" i="1"/>
  <c r="BE595" i="1"/>
  <c r="BF595" i="1"/>
  <c r="BG595" i="1"/>
  <c r="BH595" i="1"/>
  <c r="BI595" i="1"/>
  <c r="BJ595" i="1"/>
  <c r="BK595" i="1"/>
  <c r="BL595" i="1"/>
  <c r="BM595" i="1"/>
  <c r="BN595" i="1"/>
  <c r="BO595" i="1"/>
  <c r="BP595" i="1"/>
  <c r="BQ595" i="1"/>
  <c r="BR595" i="1"/>
  <c r="BS595" i="1"/>
  <c r="BT595" i="1"/>
  <c r="BU595" i="1"/>
  <c r="BV595" i="1"/>
  <c r="BW595" i="1"/>
  <c r="CN595" i="1"/>
  <c r="CO595" i="1"/>
  <c r="CP595" i="1"/>
  <c r="CQ595" i="1"/>
  <c r="CR595" i="1"/>
  <c r="CS595" i="1"/>
  <c r="CT595" i="1"/>
  <c r="CU595" i="1"/>
  <c r="CV595" i="1"/>
  <c r="CW595" i="1"/>
  <c r="CX595" i="1"/>
  <c r="CY595" i="1"/>
  <c r="CZ595" i="1"/>
  <c r="DA595" i="1"/>
  <c r="DB595" i="1"/>
  <c r="DC595" i="1"/>
  <c r="DD595" i="1"/>
  <c r="DE595" i="1"/>
  <c r="DF595" i="1"/>
  <c r="DG595" i="1"/>
  <c r="DH595" i="1"/>
  <c r="DI595" i="1"/>
  <c r="DJ595" i="1"/>
  <c r="DK595" i="1"/>
  <c r="DL595" i="1"/>
  <c r="DM595" i="1"/>
  <c r="DN595" i="1"/>
  <c r="DO595" i="1"/>
  <c r="DP595" i="1"/>
  <c r="DQ595" i="1"/>
  <c r="DR595" i="1"/>
  <c r="DS595" i="1"/>
  <c r="DT595" i="1"/>
  <c r="DU595" i="1"/>
  <c r="DV595" i="1"/>
  <c r="DW595" i="1"/>
  <c r="DX595" i="1"/>
  <c r="DY595" i="1"/>
  <c r="DZ595" i="1"/>
  <c r="EA595" i="1"/>
  <c r="EB595" i="1"/>
  <c r="EC595" i="1"/>
  <c r="ED595" i="1"/>
  <c r="EE595" i="1"/>
  <c r="EF595" i="1"/>
  <c r="EG595" i="1"/>
  <c r="EH595" i="1"/>
  <c r="EI595" i="1"/>
  <c r="EJ595" i="1"/>
  <c r="EK595" i="1"/>
  <c r="EL595" i="1"/>
  <c r="EM595" i="1"/>
  <c r="EN595" i="1"/>
  <c r="EO595" i="1"/>
  <c r="EP595" i="1"/>
  <c r="EQ595" i="1"/>
  <c r="ER595" i="1"/>
  <c r="ES595" i="1"/>
  <c r="ET595" i="1"/>
  <c r="EU595" i="1"/>
  <c r="EV595" i="1"/>
  <c r="EW595" i="1"/>
  <c r="EX595" i="1"/>
  <c r="EY595" i="1"/>
  <c r="EZ595" i="1"/>
  <c r="FA595" i="1"/>
  <c r="FB595" i="1"/>
  <c r="FC595" i="1"/>
  <c r="FD595" i="1"/>
  <c r="FE595" i="1"/>
  <c r="FF595" i="1"/>
  <c r="FG595" i="1"/>
  <c r="FH595" i="1"/>
  <c r="FI595" i="1"/>
  <c r="FJ595" i="1"/>
  <c r="FK595" i="1"/>
  <c r="FL595" i="1"/>
  <c r="FM595" i="1"/>
  <c r="FN595" i="1"/>
  <c r="FO595" i="1"/>
  <c r="FP595" i="1"/>
  <c r="FQ595" i="1"/>
  <c r="FR595" i="1"/>
  <c r="FS595" i="1"/>
  <c r="FT595" i="1"/>
  <c r="FU595" i="1"/>
  <c r="FV595" i="1"/>
  <c r="FW595" i="1"/>
  <c r="FX595" i="1"/>
  <c r="FY595" i="1"/>
  <c r="FZ595" i="1"/>
  <c r="GA595" i="1"/>
  <c r="GB595" i="1"/>
  <c r="GC595" i="1"/>
  <c r="GD595" i="1"/>
  <c r="GE595" i="1"/>
  <c r="GF595" i="1"/>
  <c r="GG595" i="1"/>
  <c r="GH595" i="1"/>
  <c r="GI595" i="1"/>
  <c r="GJ595" i="1"/>
  <c r="GK595" i="1"/>
  <c r="GL595" i="1"/>
  <c r="GM595" i="1"/>
  <c r="GN595" i="1"/>
  <c r="GO595" i="1"/>
  <c r="GP595" i="1"/>
  <c r="GQ595" i="1"/>
  <c r="GR595" i="1"/>
  <c r="GS595" i="1"/>
  <c r="GT595" i="1"/>
  <c r="GU595" i="1"/>
  <c r="GV595" i="1"/>
  <c r="GW595" i="1"/>
  <c r="GX595" i="1"/>
  <c r="D597" i="1"/>
  <c r="AC597" i="1"/>
  <c r="CQ597" i="1" s="1"/>
  <c r="P597" i="1" s="1"/>
  <c r="AE597" i="1"/>
  <c r="AF597" i="1"/>
  <c r="AG597" i="1"/>
  <c r="CU597" i="1" s="1"/>
  <c r="T597" i="1" s="1"/>
  <c r="AH597" i="1"/>
  <c r="CV597" i="1" s="1"/>
  <c r="U597" i="1" s="1"/>
  <c r="AI597" i="1"/>
  <c r="CW597" i="1" s="1"/>
  <c r="V597" i="1" s="1"/>
  <c r="AJ597" i="1"/>
  <c r="CX597" i="1" s="1"/>
  <c r="W597" i="1" s="1"/>
  <c r="CR597" i="1"/>
  <c r="Q597" i="1" s="1"/>
  <c r="FR597" i="1"/>
  <c r="GL597" i="1"/>
  <c r="GN597" i="1"/>
  <c r="GO597" i="1"/>
  <c r="GV597" i="1"/>
  <c r="HC597" i="1" s="1"/>
  <c r="GX597" i="1" s="1"/>
  <c r="D598" i="1"/>
  <c r="AC598" i="1"/>
  <c r="CQ598" i="1" s="1"/>
  <c r="P598" i="1" s="1"/>
  <c r="AE598" i="1"/>
  <c r="AF598" i="1"/>
  <c r="AG598" i="1"/>
  <c r="CU598" i="1" s="1"/>
  <c r="T598" i="1" s="1"/>
  <c r="AH598" i="1"/>
  <c r="CV598" i="1" s="1"/>
  <c r="U598" i="1" s="1"/>
  <c r="AI598" i="1"/>
  <c r="CW598" i="1" s="1"/>
  <c r="V598" i="1" s="1"/>
  <c r="AJ598" i="1"/>
  <c r="CX598" i="1" s="1"/>
  <c r="W598" i="1" s="1"/>
  <c r="CR598" i="1"/>
  <c r="Q598" i="1" s="1"/>
  <c r="CS598" i="1"/>
  <c r="FR598" i="1"/>
  <c r="GL598" i="1"/>
  <c r="GN598" i="1"/>
  <c r="GO598" i="1"/>
  <c r="GV598" i="1"/>
  <c r="HC598" i="1" s="1"/>
  <c r="GX598" i="1"/>
  <c r="D599" i="1"/>
  <c r="I599" i="1"/>
  <c r="K599" i="1"/>
  <c r="AC599" i="1"/>
  <c r="AE599" i="1"/>
  <c r="AD599" i="1" s="1"/>
  <c r="AF599" i="1"/>
  <c r="CT599" i="1" s="1"/>
  <c r="AG599" i="1"/>
  <c r="AH599" i="1"/>
  <c r="CV599" i="1" s="1"/>
  <c r="AI599" i="1"/>
  <c r="AJ599" i="1"/>
  <c r="CQ599" i="1"/>
  <c r="CR599" i="1"/>
  <c r="CS599" i="1"/>
  <c r="CU599" i="1"/>
  <c r="CW599" i="1"/>
  <c r="CX599" i="1"/>
  <c r="FR599" i="1"/>
  <c r="GL599" i="1"/>
  <c r="GN599" i="1"/>
  <c r="GO599" i="1"/>
  <c r="GV599" i="1"/>
  <c r="HC599" i="1" s="1"/>
  <c r="D600" i="1"/>
  <c r="I600" i="1"/>
  <c r="K600" i="1"/>
  <c r="AC600" i="1"/>
  <c r="CQ600" i="1" s="1"/>
  <c r="AE600" i="1"/>
  <c r="CR600" i="1" s="1"/>
  <c r="AF600" i="1"/>
  <c r="CT600" i="1" s="1"/>
  <c r="S600" i="1" s="1"/>
  <c r="AG600" i="1"/>
  <c r="CU600" i="1" s="1"/>
  <c r="AH600" i="1"/>
  <c r="AI600" i="1"/>
  <c r="CW600" i="1" s="1"/>
  <c r="V600" i="1" s="1"/>
  <c r="AJ600" i="1"/>
  <c r="CX600" i="1" s="1"/>
  <c r="W600" i="1" s="1"/>
  <c r="CS600" i="1"/>
  <c r="R600" i="1" s="1"/>
  <c r="GK600" i="1" s="1"/>
  <c r="CV600" i="1"/>
  <c r="U600" i="1" s="1"/>
  <c r="FR600" i="1"/>
  <c r="GL600" i="1"/>
  <c r="GN600" i="1"/>
  <c r="GO600" i="1"/>
  <c r="GV600" i="1"/>
  <c r="HC600" i="1" s="1"/>
  <c r="D601" i="1"/>
  <c r="I601" i="1"/>
  <c r="K601" i="1"/>
  <c r="AC601" i="1"/>
  <c r="AE601" i="1"/>
  <c r="AF601" i="1"/>
  <c r="AG601" i="1"/>
  <c r="CU601" i="1" s="1"/>
  <c r="T601" i="1" s="1"/>
  <c r="AH601" i="1"/>
  <c r="CV601" i="1" s="1"/>
  <c r="AI601" i="1"/>
  <c r="CW601" i="1" s="1"/>
  <c r="AJ601" i="1"/>
  <c r="CX601" i="1" s="1"/>
  <c r="W601" i="1" s="1"/>
  <c r="FR601" i="1"/>
  <c r="GL601" i="1"/>
  <c r="GN601" i="1"/>
  <c r="GO601" i="1"/>
  <c r="GV601" i="1"/>
  <c r="HC601" i="1" s="1"/>
  <c r="GX601" i="1" s="1"/>
  <c r="D602" i="1"/>
  <c r="I602" i="1"/>
  <c r="K602" i="1"/>
  <c r="AC602" i="1"/>
  <c r="CQ602" i="1" s="1"/>
  <c r="P602" i="1" s="1"/>
  <c r="AE602" i="1"/>
  <c r="CS602" i="1" s="1"/>
  <c r="AF602" i="1"/>
  <c r="AG602" i="1"/>
  <c r="CU602" i="1" s="1"/>
  <c r="T602" i="1" s="1"/>
  <c r="AH602" i="1"/>
  <c r="CV602" i="1" s="1"/>
  <c r="AI602" i="1"/>
  <c r="CW602" i="1" s="1"/>
  <c r="V602" i="1" s="1"/>
  <c r="AJ602" i="1"/>
  <c r="CX602" i="1" s="1"/>
  <c r="W602" i="1" s="1"/>
  <c r="CR602" i="1"/>
  <c r="Q602" i="1" s="1"/>
  <c r="CT602" i="1"/>
  <c r="S602" i="1" s="1"/>
  <c r="FR602" i="1"/>
  <c r="GL602" i="1"/>
  <c r="GN602" i="1"/>
  <c r="GO602" i="1"/>
  <c r="GV602" i="1"/>
  <c r="HC602" i="1"/>
  <c r="GX602" i="1" s="1"/>
  <c r="D603" i="1"/>
  <c r="AC603" i="1"/>
  <c r="CQ603" i="1" s="1"/>
  <c r="P603" i="1" s="1"/>
  <c r="AE603" i="1"/>
  <c r="CS603" i="1" s="1"/>
  <c r="R603" i="1" s="1"/>
  <c r="GK603" i="1" s="1"/>
  <c r="AF603" i="1"/>
  <c r="AG603" i="1"/>
  <c r="CU603" i="1" s="1"/>
  <c r="T603" i="1" s="1"/>
  <c r="AH603" i="1"/>
  <c r="AI603" i="1"/>
  <c r="AJ603" i="1"/>
  <c r="CX603" i="1" s="1"/>
  <c r="W603" i="1" s="1"/>
  <c r="CT603" i="1"/>
  <c r="S603" i="1" s="1"/>
  <c r="CZ603" i="1" s="1"/>
  <c r="Y603" i="1" s="1"/>
  <c r="CV603" i="1"/>
  <c r="U603" i="1" s="1"/>
  <c r="CW603" i="1"/>
  <c r="V603" i="1" s="1"/>
  <c r="CY603" i="1"/>
  <c r="X603" i="1" s="1"/>
  <c r="FR603" i="1"/>
  <c r="GL603" i="1"/>
  <c r="GN603" i="1"/>
  <c r="GO603" i="1"/>
  <c r="GV603" i="1"/>
  <c r="HC603" i="1" s="1"/>
  <c r="GX603" i="1"/>
  <c r="D604" i="1"/>
  <c r="P604" i="1"/>
  <c r="S604" i="1"/>
  <c r="AC604" i="1"/>
  <c r="CQ604" i="1" s="1"/>
  <c r="AE604" i="1"/>
  <c r="AF604" i="1"/>
  <c r="AG604" i="1"/>
  <c r="CU604" i="1" s="1"/>
  <c r="T604" i="1" s="1"/>
  <c r="AH604" i="1"/>
  <c r="AI604" i="1"/>
  <c r="CW604" i="1" s="1"/>
  <c r="V604" i="1" s="1"/>
  <c r="AJ604" i="1"/>
  <c r="CS604" i="1"/>
  <c r="R604" i="1" s="1"/>
  <c r="CT604" i="1"/>
  <c r="CV604" i="1"/>
  <c r="U604" i="1" s="1"/>
  <c r="CX604" i="1"/>
  <c r="W604" i="1" s="1"/>
  <c r="FR604" i="1"/>
  <c r="GL604" i="1"/>
  <c r="GN604" i="1"/>
  <c r="GO604" i="1"/>
  <c r="GV604" i="1"/>
  <c r="HC604" i="1" s="1"/>
  <c r="GX604" i="1" s="1"/>
  <c r="D605" i="1"/>
  <c r="I605" i="1"/>
  <c r="K605" i="1"/>
  <c r="AC605" i="1"/>
  <c r="AE605" i="1"/>
  <c r="AF605" i="1"/>
  <c r="AG605" i="1"/>
  <c r="CU605" i="1" s="1"/>
  <c r="AH605" i="1"/>
  <c r="CV605" i="1" s="1"/>
  <c r="AI605" i="1"/>
  <c r="CW605" i="1" s="1"/>
  <c r="AJ605" i="1"/>
  <c r="CX605" i="1" s="1"/>
  <c r="W605" i="1" s="1"/>
  <c r="FR605" i="1"/>
  <c r="GL605" i="1"/>
  <c r="GN605" i="1"/>
  <c r="GO605" i="1"/>
  <c r="GV605" i="1"/>
  <c r="HC605" i="1" s="1"/>
  <c r="D606" i="1"/>
  <c r="I606" i="1"/>
  <c r="K606" i="1"/>
  <c r="AC606" i="1"/>
  <c r="CQ606" i="1" s="1"/>
  <c r="P606" i="1" s="1"/>
  <c r="AE606" i="1"/>
  <c r="AF606" i="1"/>
  <c r="AG606" i="1"/>
  <c r="CU606" i="1" s="1"/>
  <c r="T606" i="1" s="1"/>
  <c r="AH606" i="1"/>
  <c r="AI606" i="1"/>
  <c r="CW606" i="1" s="1"/>
  <c r="V606" i="1" s="1"/>
  <c r="AJ606" i="1"/>
  <c r="CX606" i="1" s="1"/>
  <c r="W606" i="1" s="1"/>
  <c r="CT606" i="1"/>
  <c r="S606" i="1" s="1"/>
  <c r="CV606" i="1"/>
  <c r="U606" i="1" s="1"/>
  <c r="FR606" i="1"/>
  <c r="GL606" i="1"/>
  <c r="GN606" i="1"/>
  <c r="GO606" i="1"/>
  <c r="GV606" i="1"/>
  <c r="HC606" i="1" s="1"/>
  <c r="GX606" i="1" s="1"/>
  <c r="D607" i="1"/>
  <c r="AC607" i="1"/>
  <c r="CQ607" i="1" s="1"/>
  <c r="P607" i="1" s="1"/>
  <c r="AE607" i="1"/>
  <c r="CS607" i="1" s="1"/>
  <c r="R607" i="1" s="1"/>
  <c r="GK607" i="1" s="1"/>
  <c r="AF607" i="1"/>
  <c r="AG607" i="1"/>
  <c r="CU607" i="1" s="1"/>
  <c r="T607" i="1" s="1"/>
  <c r="AH607" i="1"/>
  <c r="AI607" i="1"/>
  <c r="CW607" i="1" s="1"/>
  <c r="V607" i="1" s="1"/>
  <c r="AJ607" i="1"/>
  <c r="CX607" i="1" s="1"/>
  <c r="W607" i="1" s="1"/>
  <c r="CT607" i="1"/>
  <c r="S607" i="1" s="1"/>
  <c r="CV607" i="1"/>
  <c r="U607" i="1" s="1"/>
  <c r="FR607" i="1"/>
  <c r="GL607" i="1"/>
  <c r="GN607" i="1"/>
  <c r="GO607" i="1"/>
  <c r="GV607" i="1"/>
  <c r="HC607" i="1" s="1"/>
  <c r="GX607" i="1" s="1"/>
  <c r="D608" i="1"/>
  <c r="I608" i="1"/>
  <c r="K608" i="1"/>
  <c r="AC608" i="1"/>
  <c r="AE608" i="1"/>
  <c r="AF608" i="1"/>
  <c r="CT608" i="1" s="1"/>
  <c r="AG608" i="1"/>
  <c r="CU608" i="1" s="1"/>
  <c r="AH608" i="1"/>
  <c r="CV608" i="1" s="1"/>
  <c r="U608" i="1" s="1"/>
  <c r="AI608" i="1"/>
  <c r="CW608" i="1" s="1"/>
  <c r="AJ608" i="1"/>
  <c r="CX608" i="1"/>
  <c r="W608" i="1" s="1"/>
  <c r="FR608" i="1"/>
  <c r="GL608" i="1"/>
  <c r="GN608" i="1"/>
  <c r="GO608" i="1"/>
  <c r="GV608" i="1"/>
  <c r="HC608" i="1" s="1"/>
  <c r="D609" i="1"/>
  <c r="I609" i="1"/>
  <c r="K609" i="1"/>
  <c r="V609" i="1"/>
  <c r="AC609" i="1"/>
  <c r="AE609" i="1"/>
  <c r="CR609" i="1" s="1"/>
  <c r="Q609" i="1" s="1"/>
  <c r="AF609" i="1"/>
  <c r="AG609" i="1"/>
  <c r="CU609" i="1" s="1"/>
  <c r="T609" i="1" s="1"/>
  <c r="AH609" i="1"/>
  <c r="AI609" i="1"/>
  <c r="CW609" i="1" s="1"/>
  <c r="AJ609" i="1"/>
  <c r="CX609" i="1" s="1"/>
  <c r="CQ609" i="1"/>
  <c r="P609" i="1" s="1"/>
  <c r="CT609" i="1"/>
  <c r="S609" i="1" s="1"/>
  <c r="CV609" i="1"/>
  <c r="U609" i="1" s="1"/>
  <c r="FR609" i="1"/>
  <c r="GL609" i="1"/>
  <c r="GN609" i="1"/>
  <c r="GO609" i="1"/>
  <c r="GV609" i="1"/>
  <c r="HC609" i="1" s="1"/>
  <c r="GX609" i="1" s="1"/>
  <c r="D610" i="1"/>
  <c r="I610" i="1"/>
  <c r="K610" i="1"/>
  <c r="AC610" i="1"/>
  <c r="CQ610" i="1" s="1"/>
  <c r="P610" i="1" s="1"/>
  <c r="AE610" i="1"/>
  <c r="AF610" i="1"/>
  <c r="CT610" i="1" s="1"/>
  <c r="AG610" i="1"/>
  <c r="AH610" i="1"/>
  <c r="CV610" i="1" s="1"/>
  <c r="AI610" i="1"/>
  <c r="CW610" i="1" s="1"/>
  <c r="V610" i="1" s="1"/>
  <c r="AJ610" i="1"/>
  <c r="CU610" i="1"/>
  <c r="CX610" i="1"/>
  <c r="FR610" i="1"/>
  <c r="GL610" i="1"/>
  <c r="GN610" i="1"/>
  <c r="GO610" i="1"/>
  <c r="GV610" i="1"/>
  <c r="HC610" i="1"/>
  <c r="D611" i="1"/>
  <c r="I611" i="1"/>
  <c r="K611" i="1"/>
  <c r="AC611" i="1"/>
  <c r="AE611" i="1"/>
  <c r="CS611" i="1" s="1"/>
  <c r="AF611" i="1"/>
  <c r="CT611" i="1" s="1"/>
  <c r="S611" i="1" s="1"/>
  <c r="AG611" i="1"/>
  <c r="AH611" i="1"/>
  <c r="AI611" i="1"/>
  <c r="CW611" i="1" s="1"/>
  <c r="V611" i="1" s="1"/>
  <c r="AJ611" i="1"/>
  <c r="CR611" i="1"/>
  <c r="CU611" i="1"/>
  <c r="T611" i="1" s="1"/>
  <c r="CV611" i="1"/>
  <c r="U611" i="1" s="1"/>
  <c r="CX611" i="1"/>
  <c r="W611" i="1" s="1"/>
  <c r="FR611" i="1"/>
  <c r="GL611" i="1"/>
  <c r="GN611" i="1"/>
  <c r="GO611" i="1"/>
  <c r="GV611" i="1"/>
  <c r="HC611" i="1" s="1"/>
  <c r="GX611" i="1" s="1"/>
  <c r="D612" i="1"/>
  <c r="T612" i="1"/>
  <c r="AC612" i="1"/>
  <c r="AE612" i="1"/>
  <c r="AF612" i="1"/>
  <c r="CT612" i="1" s="1"/>
  <c r="S612" i="1" s="1"/>
  <c r="AG612" i="1"/>
  <c r="CU612" i="1" s="1"/>
  <c r="AH612" i="1"/>
  <c r="CV612" i="1" s="1"/>
  <c r="U612" i="1" s="1"/>
  <c r="AI612" i="1"/>
  <c r="CW612" i="1" s="1"/>
  <c r="V612" i="1" s="1"/>
  <c r="AJ612" i="1"/>
  <c r="CX612" i="1" s="1"/>
  <c r="W612" i="1" s="1"/>
  <c r="CQ612" i="1"/>
  <c r="P612" i="1" s="1"/>
  <c r="CS612" i="1"/>
  <c r="FR612" i="1"/>
  <c r="GL612" i="1"/>
  <c r="GN612" i="1"/>
  <c r="GO612" i="1"/>
  <c r="GV612" i="1"/>
  <c r="HC612" i="1"/>
  <c r="GX612" i="1" s="1"/>
  <c r="D613" i="1"/>
  <c r="I613" i="1"/>
  <c r="K613" i="1"/>
  <c r="AC613" i="1"/>
  <c r="CQ613" i="1" s="1"/>
  <c r="AE613" i="1"/>
  <c r="CR613" i="1" s="1"/>
  <c r="Q613" i="1" s="1"/>
  <c r="AF613" i="1"/>
  <c r="CT613" i="1" s="1"/>
  <c r="AG613" i="1"/>
  <c r="AH613" i="1"/>
  <c r="CV613" i="1" s="1"/>
  <c r="U613" i="1" s="1"/>
  <c r="AI613" i="1"/>
  <c r="AJ613" i="1"/>
  <c r="CX613" i="1" s="1"/>
  <c r="W613" i="1" s="1"/>
  <c r="CU613" i="1"/>
  <c r="T613" i="1" s="1"/>
  <c r="CW613" i="1"/>
  <c r="FR613" i="1"/>
  <c r="GL613" i="1"/>
  <c r="GN613" i="1"/>
  <c r="GO613" i="1"/>
  <c r="GV613" i="1"/>
  <c r="HC613" i="1"/>
  <c r="D614" i="1"/>
  <c r="I614" i="1"/>
  <c r="K614" i="1"/>
  <c r="W614" i="1"/>
  <c r="AC614" i="1"/>
  <c r="CQ614" i="1" s="1"/>
  <c r="AE614" i="1"/>
  <c r="AD614" i="1" s="1"/>
  <c r="AF614" i="1"/>
  <c r="CT614" i="1" s="1"/>
  <c r="S614" i="1" s="1"/>
  <c r="AG614" i="1"/>
  <c r="AH614" i="1"/>
  <c r="AI614" i="1"/>
  <c r="CW614" i="1" s="1"/>
  <c r="V614" i="1" s="1"/>
  <c r="AJ614" i="1"/>
  <c r="CX614" i="1" s="1"/>
  <c r="CR614" i="1"/>
  <c r="Q614" i="1" s="1"/>
  <c r="CU614" i="1"/>
  <c r="CV614" i="1"/>
  <c r="U614" i="1" s="1"/>
  <c r="FR614" i="1"/>
  <c r="GL614" i="1"/>
  <c r="GN614" i="1"/>
  <c r="GO614" i="1"/>
  <c r="GV614" i="1"/>
  <c r="HC614" i="1"/>
  <c r="GX614" i="1" s="1"/>
  <c r="D615" i="1"/>
  <c r="I615" i="1"/>
  <c r="K615" i="1"/>
  <c r="AC615" i="1"/>
  <c r="AE615" i="1"/>
  <c r="AF615" i="1"/>
  <c r="CT615" i="1" s="1"/>
  <c r="AG615" i="1"/>
  <c r="CU615" i="1" s="1"/>
  <c r="AH615" i="1"/>
  <c r="CV615" i="1" s="1"/>
  <c r="AI615" i="1"/>
  <c r="CW615" i="1" s="1"/>
  <c r="AJ615" i="1"/>
  <c r="CX615" i="1"/>
  <c r="W615" i="1" s="1"/>
  <c r="FR615" i="1"/>
  <c r="GL615" i="1"/>
  <c r="GN615" i="1"/>
  <c r="GO615" i="1"/>
  <c r="GV615" i="1"/>
  <c r="HC615" i="1"/>
  <c r="GX615" i="1" s="1"/>
  <c r="D616" i="1"/>
  <c r="I616" i="1"/>
  <c r="K616" i="1"/>
  <c r="AC616" i="1"/>
  <c r="CQ616" i="1" s="1"/>
  <c r="AE616" i="1"/>
  <c r="AF616" i="1"/>
  <c r="AG616" i="1"/>
  <c r="CU616" i="1" s="1"/>
  <c r="T616" i="1" s="1"/>
  <c r="AH616" i="1"/>
  <c r="CV616" i="1" s="1"/>
  <c r="U616" i="1" s="1"/>
  <c r="AI616" i="1"/>
  <c r="AJ616" i="1"/>
  <c r="CT616" i="1"/>
  <c r="S616" i="1" s="1"/>
  <c r="CW616" i="1"/>
  <c r="V616" i="1" s="1"/>
  <c r="CX616" i="1"/>
  <c r="W616" i="1" s="1"/>
  <c r="FR616" i="1"/>
  <c r="GL616" i="1"/>
  <c r="GN616" i="1"/>
  <c r="GO616" i="1"/>
  <c r="GV616" i="1"/>
  <c r="HC616" i="1"/>
  <c r="GX616" i="1" s="1"/>
  <c r="B618" i="1"/>
  <c r="B595" i="1" s="1"/>
  <c r="C618" i="1"/>
  <c r="C595" i="1" s="1"/>
  <c r="D618" i="1"/>
  <c r="D595" i="1" s="1"/>
  <c r="F618" i="1"/>
  <c r="F595" i="1" s="1"/>
  <c r="G618" i="1"/>
  <c r="BC618" i="1"/>
  <c r="BX618" i="1"/>
  <c r="BX595" i="1" s="1"/>
  <c r="CK618" i="1"/>
  <c r="CK595" i="1" s="1"/>
  <c r="CL618" i="1"/>
  <c r="CL595" i="1" s="1"/>
  <c r="CM618" i="1"/>
  <c r="CM595" i="1" s="1"/>
  <c r="D648" i="1"/>
  <c r="E650" i="1"/>
  <c r="Z650" i="1"/>
  <c r="AA650" i="1"/>
  <c r="AM650" i="1"/>
  <c r="AN650" i="1"/>
  <c r="BE650" i="1"/>
  <c r="BF650" i="1"/>
  <c r="BG650" i="1"/>
  <c r="BH650" i="1"/>
  <c r="BI650" i="1"/>
  <c r="BJ650" i="1"/>
  <c r="BK650" i="1"/>
  <c r="BL650" i="1"/>
  <c r="BM650" i="1"/>
  <c r="BN650" i="1"/>
  <c r="BO650" i="1"/>
  <c r="BP650" i="1"/>
  <c r="BQ650" i="1"/>
  <c r="BR650" i="1"/>
  <c r="BS650" i="1"/>
  <c r="BT650" i="1"/>
  <c r="BU650" i="1"/>
  <c r="BV650" i="1"/>
  <c r="BW650" i="1"/>
  <c r="CN650" i="1"/>
  <c r="CO650" i="1"/>
  <c r="CP650" i="1"/>
  <c r="CQ650" i="1"/>
  <c r="CR650" i="1"/>
  <c r="CS650" i="1"/>
  <c r="CT650" i="1"/>
  <c r="CU650" i="1"/>
  <c r="CV650" i="1"/>
  <c r="CW650" i="1"/>
  <c r="CX650" i="1"/>
  <c r="CY650" i="1"/>
  <c r="CZ650" i="1"/>
  <c r="DA650" i="1"/>
  <c r="DB650" i="1"/>
  <c r="DC650" i="1"/>
  <c r="DD650" i="1"/>
  <c r="DE650" i="1"/>
  <c r="DF650" i="1"/>
  <c r="DG650" i="1"/>
  <c r="DH650" i="1"/>
  <c r="DI650" i="1"/>
  <c r="DJ650" i="1"/>
  <c r="DK650" i="1"/>
  <c r="DL650" i="1"/>
  <c r="DM650" i="1"/>
  <c r="DN650" i="1"/>
  <c r="DO650" i="1"/>
  <c r="DP650" i="1"/>
  <c r="DQ650" i="1"/>
  <c r="DR650" i="1"/>
  <c r="DS650" i="1"/>
  <c r="DT650" i="1"/>
  <c r="DU650" i="1"/>
  <c r="DV650" i="1"/>
  <c r="DW650" i="1"/>
  <c r="DX650" i="1"/>
  <c r="DY650" i="1"/>
  <c r="DZ650" i="1"/>
  <c r="EA650" i="1"/>
  <c r="EB650" i="1"/>
  <c r="EC650" i="1"/>
  <c r="ED650" i="1"/>
  <c r="EE650" i="1"/>
  <c r="EF650" i="1"/>
  <c r="EG650" i="1"/>
  <c r="EH650" i="1"/>
  <c r="EI650" i="1"/>
  <c r="EJ650" i="1"/>
  <c r="EK650" i="1"/>
  <c r="EL650" i="1"/>
  <c r="EM650" i="1"/>
  <c r="EN650" i="1"/>
  <c r="EO650" i="1"/>
  <c r="EP650" i="1"/>
  <c r="EQ650" i="1"/>
  <c r="ER650" i="1"/>
  <c r="ES650" i="1"/>
  <c r="ET650" i="1"/>
  <c r="EU650" i="1"/>
  <c r="EV650" i="1"/>
  <c r="EW650" i="1"/>
  <c r="EX650" i="1"/>
  <c r="EY650" i="1"/>
  <c r="EZ650" i="1"/>
  <c r="FA650" i="1"/>
  <c r="FB650" i="1"/>
  <c r="FC650" i="1"/>
  <c r="FD650" i="1"/>
  <c r="FE650" i="1"/>
  <c r="FF650" i="1"/>
  <c r="FG650" i="1"/>
  <c r="FH650" i="1"/>
  <c r="FI650" i="1"/>
  <c r="FJ650" i="1"/>
  <c r="FK650" i="1"/>
  <c r="FL650" i="1"/>
  <c r="FM650" i="1"/>
  <c r="FN650" i="1"/>
  <c r="FO650" i="1"/>
  <c r="FP650" i="1"/>
  <c r="FQ650" i="1"/>
  <c r="FR650" i="1"/>
  <c r="FS650" i="1"/>
  <c r="FT650" i="1"/>
  <c r="FU650" i="1"/>
  <c r="FV650" i="1"/>
  <c r="FW650" i="1"/>
  <c r="FX650" i="1"/>
  <c r="FY650" i="1"/>
  <c r="FZ650" i="1"/>
  <c r="GA650" i="1"/>
  <c r="GB650" i="1"/>
  <c r="GC650" i="1"/>
  <c r="GD650" i="1"/>
  <c r="GE650" i="1"/>
  <c r="GF650" i="1"/>
  <c r="GG650" i="1"/>
  <c r="GH650" i="1"/>
  <c r="GI650" i="1"/>
  <c r="GJ650" i="1"/>
  <c r="GK650" i="1"/>
  <c r="GL650" i="1"/>
  <c r="GM650" i="1"/>
  <c r="GN650" i="1"/>
  <c r="GO650" i="1"/>
  <c r="GP650" i="1"/>
  <c r="GQ650" i="1"/>
  <c r="GR650" i="1"/>
  <c r="GS650" i="1"/>
  <c r="GT650" i="1"/>
  <c r="GU650" i="1"/>
  <c r="GV650" i="1"/>
  <c r="GW650" i="1"/>
  <c r="GX650" i="1"/>
  <c r="D652" i="1"/>
  <c r="T652" i="1"/>
  <c r="AC652" i="1"/>
  <c r="AD652" i="1"/>
  <c r="AE652" i="1"/>
  <c r="AF652" i="1"/>
  <c r="AG652" i="1"/>
  <c r="CU652" i="1" s="1"/>
  <c r="AH652" i="1"/>
  <c r="CV652" i="1" s="1"/>
  <c r="U652" i="1" s="1"/>
  <c r="AI652" i="1"/>
  <c r="CW652" i="1" s="1"/>
  <c r="V652" i="1" s="1"/>
  <c r="AJ652" i="1"/>
  <c r="CQ652" i="1"/>
  <c r="P652" i="1" s="1"/>
  <c r="CX652" i="1"/>
  <c r="W652" i="1" s="1"/>
  <c r="FR652" i="1"/>
  <c r="GL652" i="1"/>
  <c r="GN652" i="1"/>
  <c r="GO652" i="1"/>
  <c r="GV652" i="1"/>
  <c r="GX652" i="1"/>
  <c r="HC652" i="1"/>
  <c r="D653" i="1"/>
  <c r="U653" i="1"/>
  <c r="AC653" i="1"/>
  <c r="AE653" i="1"/>
  <c r="AD653" i="1" s="1"/>
  <c r="AB653" i="1" s="1"/>
  <c r="AF653" i="1"/>
  <c r="AG653" i="1"/>
  <c r="CU653" i="1" s="1"/>
  <c r="T653" i="1" s="1"/>
  <c r="AH653" i="1"/>
  <c r="AI653" i="1"/>
  <c r="AJ653" i="1"/>
  <c r="CQ653" i="1"/>
  <c r="P653" i="1" s="1"/>
  <c r="CR653" i="1"/>
  <c r="Q653" i="1" s="1"/>
  <c r="CT653" i="1"/>
  <c r="S653" i="1" s="1"/>
  <c r="CV653" i="1"/>
  <c r="CW653" i="1"/>
  <c r="V653" i="1" s="1"/>
  <c r="CX653" i="1"/>
  <c r="W653" i="1" s="1"/>
  <c r="FR653" i="1"/>
  <c r="GL653" i="1"/>
  <c r="GN653" i="1"/>
  <c r="GO653" i="1"/>
  <c r="GV653" i="1"/>
  <c r="HC653" i="1" s="1"/>
  <c r="GX653" i="1" s="1"/>
  <c r="D654" i="1"/>
  <c r="P654" i="1"/>
  <c r="AC654" i="1"/>
  <c r="CQ654" i="1" s="1"/>
  <c r="AE654" i="1"/>
  <c r="AF654" i="1"/>
  <c r="CT654" i="1" s="1"/>
  <c r="S654" i="1" s="1"/>
  <c r="CY654" i="1" s="1"/>
  <c r="X654" i="1" s="1"/>
  <c r="AG654" i="1"/>
  <c r="CU654" i="1" s="1"/>
  <c r="T654" i="1" s="1"/>
  <c r="AH654" i="1"/>
  <c r="AI654" i="1"/>
  <c r="AJ654" i="1"/>
  <c r="CX654" i="1" s="1"/>
  <c r="W654" i="1" s="1"/>
  <c r="CV654" i="1"/>
  <c r="U654" i="1" s="1"/>
  <c r="CW654" i="1"/>
  <c r="V654" i="1" s="1"/>
  <c r="FR654" i="1"/>
  <c r="GL654" i="1"/>
  <c r="GN654" i="1"/>
  <c r="GO654" i="1"/>
  <c r="GV654" i="1"/>
  <c r="HC654" i="1"/>
  <c r="GX654" i="1" s="1"/>
  <c r="D655" i="1"/>
  <c r="AC655" i="1"/>
  <c r="AE655" i="1"/>
  <c r="CS655" i="1" s="1"/>
  <c r="AF655" i="1"/>
  <c r="AG655" i="1"/>
  <c r="CU655" i="1" s="1"/>
  <c r="T655" i="1" s="1"/>
  <c r="AH655" i="1"/>
  <c r="CV655" i="1" s="1"/>
  <c r="U655" i="1" s="1"/>
  <c r="AI655" i="1"/>
  <c r="CW655" i="1" s="1"/>
  <c r="V655" i="1" s="1"/>
  <c r="AJ655" i="1"/>
  <c r="CX655" i="1" s="1"/>
  <c r="W655" i="1" s="1"/>
  <c r="AJ665" i="1" s="1"/>
  <c r="CT655" i="1"/>
  <c r="S655" i="1" s="1"/>
  <c r="FR655" i="1"/>
  <c r="GL655" i="1"/>
  <c r="BZ665" i="1" s="1"/>
  <c r="BZ650" i="1" s="1"/>
  <c r="GN655" i="1"/>
  <c r="GO655" i="1"/>
  <c r="GV655" i="1"/>
  <c r="HC655" i="1" s="1"/>
  <c r="GX655" i="1" s="1"/>
  <c r="CJ665" i="1" s="1"/>
  <c r="D656" i="1"/>
  <c r="AC656" i="1"/>
  <c r="AE656" i="1"/>
  <c r="CR656" i="1" s="1"/>
  <c r="Q656" i="1" s="1"/>
  <c r="AF656" i="1"/>
  <c r="CT656" i="1" s="1"/>
  <c r="S656" i="1" s="1"/>
  <c r="CY656" i="1" s="1"/>
  <c r="X656" i="1" s="1"/>
  <c r="AG656" i="1"/>
  <c r="CU656" i="1" s="1"/>
  <c r="T656" i="1" s="1"/>
  <c r="AH656" i="1"/>
  <c r="CV656" i="1" s="1"/>
  <c r="U656" i="1" s="1"/>
  <c r="AI656" i="1"/>
  <c r="AJ656" i="1"/>
  <c r="CX656" i="1" s="1"/>
  <c r="W656" i="1" s="1"/>
  <c r="CW656" i="1"/>
  <c r="V656" i="1" s="1"/>
  <c r="FR656" i="1"/>
  <c r="GL656" i="1"/>
  <c r="GN656" i="1"/>
  <c r="GO656" i="1"/>
  <c r="GV656" i="1"/>
  <c r="HC656" i="1" s="1"/>
  <c r="GX656" i="1" s="1"/>
  <c r="D657" i="1"/>
  <c r="U657" i="1"/>
  <c r="AC657" i="1"/>
  <c r="AE657" i="1"/>
  <c r="AF657" i="1"/>
  <c r="CT657" i="1" s="1"/>
  <c r="S657" i="1" s="1"/>
  <c r="AG657" i="1"/>
  <c r="CU657" i="1" s="1"/>
  <c r="T657" i="1" s="1"/>
  <c r="AH657" i="1"/>
  <c r="CV657" i="1" s="1"/>
  <c r="AI657" i="1"/>
  <c r="CW657" i="1" s="1"/>
  <c r="V657" i="1" s="1"/>
  <c r="AJ657" i="1"/>
  <c r="CX657" i="1" s="1"/>
  <c r="W657" i="1" s="1"/>
  <c r="FR657" i="1"/>
  <c r="GL657" i="1"/>
  <c r="GN657" i="1"/>
  <c r="GO657" i="1"/>
  <c r="GV657" i="1"/>
  <c r="HC657" i="1" s="1"/>
  <c r="GX657" i="1" s="1"/>
  <c r="D658" i="1"/>
  <c r="AC658" i="1"/>
  <c r="CQ658" i="1" s="1"/>
  <c r="P658" i="1" s="1"/>
  <c r="AE658" i="1"/>
  <c r="AD658" i="1" s="1"/>
  <c r="AF658" i="1"/>
  <c r="AG658" i="1"/>
  <c r="CU658" i="1" s="1"/>
  <c r="T658" i="1" s="1"/>
  <c r="AH658" i="1"/>
  <c r="AI658" i="1"/>
  <c r="CW658" i="1" s="1"/>
  <c r="V658" i="1" s="1"/>
  <c r="AJ658" i="1"/>
  <c r="CX658" i="1" s="1"/>
  <c r="W658" i="1" s="1"/>
  <c r="CT658" i="1"/>
  <c r="S658" i="1" s="1"/>
  <c r="CV658" i="1"/>
  <c r="U658" i="1" s="1"/>
  <c r="FR658" i="1"/>
  <c r="GL658" i="1"/>
  <c r="GN658" i="1"/>
  <c r="GO658" i="1"/>
  <c r="GV658" i="1"/>
  <c r="HC658" i="1" s="1"/>
  <c r="GX658" i="1" s="1"/>
  <c r="D659" i="1"/>
  <c r="AC659" i="1"/>
  <c r="AE659" i="1"/>
  <c r="AF659" i="1"/>
  <c r="CT659" i="1" s="1"/>
  <c r="S659" i="1" s="1"/>
  <c r="CZ659" i="1" s="1"/>
  <c r="Y659" i="1" s="1"/>
  <c r="AG659" i="1"/>
  <c r="AH659" i="1"/>
  <c r="CV659" i="1" s="1"/>
  <c r="U659" i="1" s="1"/>
  <c r="AI659" i="1"/>
  <c r="AJ659" i="1"/>
  <c r="CX659" i="1" s="1"/>
  <c r="W659" i="1" s="1"/>
  <c r="CU659" i="1"/>
  <c r="T659" i="1" s="1"/>
  <c r="CW659" i="1"/>
  <c r="V659" i="1" s="1"/>
  <c r="FR659" i="1"/>
  <c r="GL659" i="1"/>
  <c r="GN659" i="1"/>
  <c r="GO659" i="1"/>
  <c r="GV659" i="1"/>
  <c r="HC659" i="1"/>
  <c r="GX659" i="1" s="1"/>
  <c r="D660" i="1"/>
  <c r="T660" i="1"/>
  <c r="W660" i="1"/>
  <c r="AC660" i="1"/>
  <c r="AE660" i="1"/>
  <c r="AF660" i="1"/>
  <c r="CT660" i="1" s="1"/>
  <c r="S660" i="1" s="1"/>
  <c r="CZ660" i="1" s="1"/>
  <c r="Y660" i="1" s="1"/>
  <c r="AG660" i="1"/>
  <c r="CU660" i="1" s="1"/>
  <c r="AH660" i="1"/>
  <c r="CV660" i="1" s="1"/>
  <c r="U660" i="1" s="1"/>
  <c r="AI660" i="1"/>
  <c r="CW660" i="1" s="1"/>
  <c r="V660" i="1" s="1"/>
  <c r="AJ660" i="1"/>
  <c r="CX660" i="1" s="1"/>
  <c r="CQ660" i="1"/>
  <c r="P660" i="1" s="1"/>
  <c r="CS660" i="1"/>
  <c r="R660" i="1" s="1"/>
  <c r="GK660" i="1" s="1"/>
  <c r="CY660" i="1"/>
  <c r="X660" i="1" s="1"/>
  <c r="FR660" i="1"/>
  <c r="GL660" i="1"/>
  <c r="GN660" i="1"/>
  <c r="GO660" i="1"/>
  <c r="GV660" i="1"/>
  <c r="HC660" i="1" s="1"/>
  <c r="GX660" i="1" s="1"/>
  <c r="D661" i="1"/>
  <c r="I661" i="1"/>
  <c r="K661" i="1"/>
  <c r="AC661" i="1"/>
  <c r="CQ661" i="1" s="1"/>
  <c r="P661" i="1" s="1"/>
  <c r="AE661" i="1"/>
  <c r="AD661" i="1" s="1"/>
  <c r="AF661" i="1"/>
  <c r="AG661" i="1"/>
  <c r="CU661" i="1" s="1"/>
  <c r="T661" i="1" s="1"/>
  <c r="AH661" i="1"/>
  <c r="CV661" i="1" s="1"/>
  <c r="AI661" i="1"/>
  <c r="CW661" i="1" s="1"/>
  <c r="AJ661" i="1"/>
  <c r="CX661" i="1" s="1"/>
  <c r="CR661" i="1"/>
  <c r="Q661" i="1" s="1"/>
  <c r="CT661" i="1"/>
  <c r="FR661" i="1"/>
  <c r="GL661" i="1"/>
  <c r="GN661" i="1"/>
  <c r="GO661" i="1"/>
  <c r="GV661" i="1"/>
  <c r="HC661" i="1" s="1"/>
  <c r="D662" i="1"/>
  <c r="P662" i="1"/>
  <c r="AC662" i="1"/>
  <c r="CQ662" i="1" s="1"/>
  <c r="AE662" i="1"/>
  <c r="AF662" i="1"/>
  <c r="AG662" i="1"/>
  <c r="AH662" i="1"/>
  <c r="CV662" i="1" s="1"/>
  <c r="U662" i="1" s="1"/>
  <c r="AI662" i="1"/>
  <c r="CW662" i="1" s="1"/>
  <c r="V662" i="1" s="1"/>
  <c r="AJ662" i="1"/>
  <c r="CX662" i="1" s="1"/>
  <c r="W662" i="1" s="1"/>
  <c r="CT662" i="1"/>
  <c r="S662" i="1" s="1"/>
  <c r="CU662" i="1"/>
  <c r="T662" i="1" s="1"/>
  <c r="FR662" i="1"/>
  <c r="GL662" i="1"/>
  <c r="GN662" i="1"/>
  <c r="GO662" i="1"/>
  <c r="GV662" i="1"/>
  <c r="HC662" i="1"/>
  <c r="GX662" i="1" s="1"/>
  <c r="D663" i="1"/>
  <c r="AC663" i="1"/>
  <c r="CQ663" i="1" s="1"/>
  <c r="P663" i="1" s="1"/>
  <c r="AE663" i="1"/>
  <c r="AF663" i="1"/>
  <c r="CT663" i="1" s="1"/>
  <c r="S663" i="1" s="1"/>
  <c r="CY663" i="1" s="1"/>
  <c r="X663" i="1" s="1"/>
  <c r="AG663" i="1"/>
  <c r="CU663" i="1" s="1"/>
  <c r="T663" i="1" s="1"/>
  <c r="AH663" i="1"/>
  <c r="CV663" i="1" s="1"/>
  <c r="U663" i="1" s="1"/>
  <c r="AI663" i="1"/>
  <c r="CW663" i="1" s="1"/>
  <c r="V663" i="1" s="1"/>
  <c r="AJ663" i="1"/>
  <c r="CX663" i="1" s="1"/>
  <c r="W663" i="1" s="1"/>
  <c r="CZ663" i="1"/>
  <c r="Y663" i="1" s="1"/>
  <c r="FR663" i="1"/>
  <c r="GL663" i="1"/>
  <c r="GN663" i="1"/>
  <c r="GO663" i="1"/>
  <c r="GV663" i="1"/>
  <c r="HC663" i="1" s="1"/>
  <c r="GX663" i="1" s="1"/>
  <c r="B665" i="1"/>
  <c r="B650" i="1" s="1"/>
  <c r="C665" i="1"/>
  <c r="C650" i="1" s="1"/>
  <c r="D665" i="1"/>
  <c r="D650" i="1" s="1"/>
  <c r="F665" i="1"/>
  <c r="F650" i="1" s="1"/>
  <c r="G665" i="1"/>
  <c r="AH665" i="1"/>
  <c r="AH650" i="1" s="1"/>
  <c r="BB665" i="1"/>
  <c r="BB650" i="1" s="1"/>
  <c r="BD665" i="1"/>
  <c r="BD650" i="1" s="1"/>
  <c r="BX665" i="1"/>
  <c r="AO665" i="1" s="1"/>
  <c r="CB665" i="1"/>
  <c r="AS665" i="1" s="1"/>
  <c r="AS650" i="1" s="1"/>
  <c r="CK665" i="1"/>
  <c r="CK650" i="1" s="1"/>
  <c r="CL665" i="1"/>
  <c r="CL650" i="1" s="1"/>
  <c r="CM665" i="1"/>
  <c r="CM650" i="1" s="1"/>
  <c r="D695" i="1"/>
  <c r="E697" i="1"/>
  <c r="Z697" i="1"/>
  <c r="AA697" i="1"/>
  <c r="AM697" i="1"/>
  <c r="AN697" i="1"/>
  <c r="BE697" i="1"/>
  <c r="BF697" i="1"/>
  <c r="BG697" i="1"/>
  <c r="BH697" i="1"/>
  <c r="BI697" i="1"/>
  <c r="BJ697" i="1"/>
  <c r="BK697" i="1"/>
  <c r="BL697" i="1"/>
  <c r="BM697" i="1"/>
  <c r="BN697" i="1"/>
  <c r="BO697" i="1"/>
  <c r="BP697" i="1"/>
  <c r="BQ697" i="1"/>
  <c r="BR697" i="1"/>
  <c r="BS697" i="1"/>
  <c r="BT697" i="1"/>
  <c r="BU697" i="1"/>
  <c r="BV697" i="1"/>
  <c r="BW697" i="1"/>
  <c r="CN697" i="1"/>
  <c r="CO697" i="1"/>
  <c r="CP697" i="1"/>
  <c r="CQ697" i="1"/>
  <c r="CR697" i="1"/>
  <c r="CS697" i="1"/>
  <c r="CT697" i="1"/>
  <c r="CU697" i="1"/>
  <c r="CV697" i="1"/>
  <c r="CW697" i="1"/>
  <c r="CX697" i="1"/>
  <c r="CY697" i="1"/>
  <c r="CZ697" i="1"/>
  <c r="DA697" i="1"/>
  <c r="DB697" i="1"/>
  <c r="DC697" i="1"/>
  <c r="DD697" i="1"/>
  <c r="DE697" i="1"/>
  <c r="DF697" i="1"/>
  <c r="DG697" i="1"/>
  <c r="DH697" i="1"/>
  <c r="DI697" i="1"/>
  <c r="DJ697" i="1"/>
  <c r="DK697" i="1"/>
  <c r="DL697" i="1"/>
  <c r="DM697" i="1"/>
  <c r="DN697" i="1"/>
  <c r="DO697" i="1"/>
  <c r="DP697" i="1"/>
  <c r="DQ697" i="1"/>
  <c r="DR697" i="1"/>
  <c r="DS697" i="1"/>
  <c r="DT697" i="1"/>
  <c r="DU697" i="1"/>
  <c r="DV697" i="1"/>
  <c r="DW697" i="1"/>
  <c r="DX697" i="1"/>
  <c r="DY697" i="1"/>
  <c r="DZ697" i="1"/>
  <c r="EA697" i="1"/>
  <c r="EB697" i="1"/>
  <c r="EC697" i="1"/>
  <c r="ED697" i="1"/>
  <c r="EE697" i="1"/>
  <c r="EF697" i="1"/>
  <c r="EG697" i="1"/>
  <c r="EH697" i="1"/>
  <c r="EI697" i="1"/>
  <c r="EJ697" i="1"/>
  <c r="EK697" i="1"/>
  <c r="EL697" i="1"/>
  <c r="EM697" i="1"/>
  <c r="EN697" i="1"/>
  <c r="EO697" i="1"/>
  <c r="EP697" i="1"/>
  <c r="EQ697" i="1"/>
  <c r="ER697" i="1"/>
  <c r="ES697" i="1"/>
  <c r="ET697" i="1"/>
  <c r="EU697" i="1"/>
  <c r="EV697" i="1"/>
  <c r="EW697" i="1"/>
  <c r="EX697" i="1"/>
  <c r="EY697" i="1"/>
  <c r="EZ697" i="1"/>
  <c r="FA697" i="1"/>
  <c r="FB697" i="1"/>
  <c r="FC697" i="1"/>
  <c r="FD697" i="1"/>
  <c r="FE697" i="1"/>
  <c r="FF697" i="1"/>
  <c r="FG697" i="1"/>
  <c r="FH697" i="1"/>
  <c r="FI697" i="1"/>
  <c r="FJ697" i="1"/>
  <c r="FK697" i="1"/>
  <c r="FL697" i="1"/>
  <c r="FM697" i="1"/>
  <c r="FN697" i="1"/>
  <c r="FO697" i="1"/>
  <c r="FP697" i="1"/>
  <c r="FQ697" i="1"/>
  <c r="FR697" i="1"/>
  <c r="FS697" i="1"/>
  <c r="FT697" i="1"/>
  <c r="FU697" i="1"/>
  <c r="FV697" i="1"/>
  <c r="FW697" i="1"/>
  <c r="FX697" i="1"/>
  <c r="FY697" i="1"/>
  <c r="FZ697" i="1"/>
  <c r="GA697" i="1"/>
  <c r="GB697" i="1"/>
  <c r="GC697" i="1"/>
  <c r="GD697" i="1"/>
  <c r="GE697" i="1"/>
  <c r="GF697" i="1"/>
  <c r="GG697" i="1"/>
  <c r="GH697" i="1"/>
  <c r="GI697" i="1"/>
  <c r="GJ697" i="1"/>
  <c r="GK697" i="1"/>
  <c r="GL697" i="1"/>
  <c r="GM697" i="1"/>
  <c r="GN697" i="1"/>
  <c r="GO697" i="1"/>
  <c r="GP697" i="1"/>
  <c r="GQ697" i="1"/>
  <c r="GR697" i="1"/>
  <c r="GS697" i="1"/>
  <c r="GT697" i="1"/>
  <c r="GU697" i="1"/>
  <c r="GV697" i="1"/>
  <c r="GW697" i="1"/>
  <c r="GX697" i="1"/>
  <c r="D699" i="1"/>
  <c r="W699" i="1"/>
  <c r="AC699" i="1"/>
  <c r="AE699" i="1"/>
  <c r="AF699" i="1"/>
  <c r="CT699" i="1" s="1"/>
  <c r="S699" i="1" s="1"/>
  <c r="AG699" i="1"/>
  <c r="AH699" i="1"/>
  <c r="CV699" i="1" s="1"/>
  <c r="U699" i="1" s="1"/>
  <c r="AI699" i="1"/>
  <c r="AJ699" i="1"/>
  <c r="CR699" i="1"/>
  <c r="Q699" i="1" s="1"/>
  <c r="CU699" i="1"/>
  <c r="T699" i="1" s="1"/>
  <c r="CW699" i="1"/>
  <c r="V699" i="1" s="1"/>
  <c r="CX699" i="1"/>
  <c r="FR699" i="1"/>
  <c r="GL699" i="1"/>
  <c r="BZ727" i="1" s="1"/>
  <c r="GN699" i="1"/>
  <c r="GO699" i="1"/>
  <c r="GV699" i="1"/>
  <c r="HC699" i="1"/>
  <c r="GX699" i="1" s="1"/>
  <c r="D700" i="1"/>
  <c r="AC700" i="1"/>
  <c r="AE700" i="1"/>
  <c r="CR700" i="1" s="1"/>
  <c r="Q700" i="1" s="1"/>
  <c r="AF700" i="1"/>
  <c r="CT700" i="1" s="1"/>
  <c r="S700" i="1" s="1"/>
  <c r="CY700" i="1" s="1"/>
  <c r="X700" i="1" s="1"/>
  <c r="AG700" i="1"/>
  <c r="CU700" i="1" s="1"/>
  <c r="T700" i="1" s="1"/>
  <c r="AH700" i="1"/>
  <c r="CV700" i="1" s="1"/>
  <c r="U700" i="1" s="1"/>
  <c r="AI700" i="1"/>
  <c r="CW700" i="1" s="1"/>
  <c r="V700" i="1" s="1"/>
  <c r="AJ700" i="1"/>
  <c r="CX700" i="1"/>
  <c r="W700" i="1" s="1"/>
  <c r="FR700" i="1"/>
  <c r="GL700" i="1"/>
  <c r="GN700" i="1"/>
  <c r="GO700" i="1"/>
  <c r="GV700" i="1"/>
  <c r="HC700" i="1" s="1"/>
  <c r="GX700" i="1"/>
  <c r="D701" i="1"/>
  <c r="I701" i="1"/>
  <c r="K701" i="1"/>
  <c r="P701" i="1"/>
  <c r="AC701" i="1"/>
  <c r="AE701" i="1"/>
  <c r="AD701" i="1" s="1"/>
  <c r="AB701" i="1" s="1"/>
  <c r="AF701" i="1"/>
  <c r="CT701" i="1" s="1"/>
  <c r="S701" i="1" s="1"/>
  <c r="AG701" i="1"/>
  <c r="CU701" i="1" s="1"/>
  <c r="T701" i="1" s="1"/>
  <c r="AH701" i="1"/>
  <c r="AI701" i="1"/>
  <c r="CW701" i="1" s="1"/>
  <c r="AJ701" i="1"/>
  <c r="CX701" i="1" s="1"/>
  <c r="W701" i="1" s="1"/>
  <c r="CQ701" i="1"/>
  <c r="CS701" i="1"/>
  <c r="R701" i="1" s="1"/>
  <c r="GK701" i="1" s="1"/>
  <c r="CV701" i="1"/>
  <c r="U701" i="1" s="1"/>
  <c r="FR701" i="1"/>
  <c r="GL701" i="1"/>
  <c r="GN701" i="1"/>
  <c r="GO701" i="1"/>
  <c r="GV701" i="1"/>
  <c r="HC701" i="1" s="1"/>
  <c r="D702" i="1"/>
  <c r="I702" i="1"/>
  <c r="K702" i="1"/>
  <c r="AC702" i="1"/>
  <c r="AE702" i="1"/>
  <c r="AF702" i="1"/>
  <c r="AG702" i="1"/>
  <c r="CU702" i="1" s="1"/>
  <c r="T702" i="1" s="1"/>
  <c r="AH702" i="1"/>
  <c r="CV702" i="1" s="1"/>
  <c r="U702" i="1" s="1"/>
  <c r="AI702" i="1"/>
  <c r="CW702" i="1" s="1"/>
  <c r="AJ702" i="1"/>
  <c r="CX702" i="1"/>
  <c r="W702" i="1" s="1"/>
  <c r="FR702" i="1"/>
  <c r="GL702" i="1"/>
  <c r="GN702" i="1"/>
  <c r="GO702" i="1"/>
  <c r="GV702" i="1"/>
  <c r="HC702" i="1" s="1"/>
  <c r="GX702" i="1" s="1"/>
  <c r="D703" i="1"/>
  <c r="I703" i="1"/>
  <c r="K703" i="1"/>
  <c r="AC703" i="1"/>
  <c r="AE703" i="1"/>
  <c r="AD703" i="1" s="1"/>
  <c r="AF703" i="1"/>
  <c r="CT703" i="1" s="1"/>
  <c r="S703" i="1" s="1"/>
  <c r="AG703" i="1"/>
  <c r="AH703" i="1"/>
  <c r="CV703" i="1" s="1"/>
  <c r="AI703" i="1"/>
  <c r="CW703" i="1" s="1"/>
  <c r="AJ703" i="1"/>
  <c r="CQ703" i="1"/>
  <c r="P703" i="1" s="1"/>
  <c r="CS703" i="1"/>
  <c r="CU703" i="1"/>
  <c r="T703" i="1" s="1"/>
  <c r="CX703" i="1"/>
  <c r="FR703" i="1"/>
  <c r="GL703" i="1"/>
  <c r="GN703" i="1"/>
  <c r="GO703" i="1"/>
  <c r="GV703" i="1"/>
  <c r="HC703" i="1" s="1"/>
  <c r="GX703" i="1" s="1"/>
  <c r="D704" i="1"/>
  <c r="I704" i="1"/>
  <c r="K704" i="1"/>
  <c r="AC704" i="1"/>
  <c r="CQ704" i="1" s="1"/>
  <c r="P704" i="1" s="1"/>
  <c r="AE704" i="1"/>
  <c r="CS704" i="1" s="1"/>
  <c r="R704" i="1" s="1"/>
  <c r="GK704" i="1" s="1"/>
  <c r="AF704" i="1"/>
  <c r="CT704" i="1" s="1"/>
  <c r="S704" i="1" s="1"/>
  <c r="AG704" i="1"/>
  <c r="AH704" i="1"/>
  <c r="CV704" i="1" s="1"/>
  <c r="U704" i="1" s="1"/>
  <c r="AI704" i="1"/>
  <c r="AJ704" i="1"/>
  <c r="CX704" i="1" s="1"/>
  <c r="W704" i="1" s="1"/>
  <c r="CR704" i="1"/>
  <c r="Q704" i="1" s="1"/>
  <c r="CU704" i="1"/>
  <c r="T704" i="1" s="1"/>
  <c r="CW704" i="1"/>
  <c r="V704" i="1" s="1"/>
  <c r="FR704" i="1"/>
  <c r="GL704" i="1"/>
  <c r="GN704" i="1"/>
  <c r="GO704" i="1"/>
  <c r="GV704" i="1"/>
  <c r="HC704" i="1" s="1"/>
  <c r="GX704" i="1"/>
  <c r="D705" i="1"/>
  <c r="I705" i="1"/>
  <c r="K705" i="1"/>
  <c r="S705" i="1"/>
  <c r="CZ705" i="1" s="1"/>
  <c r="Y705" i="1" s="1"/>
  <c r="AC705" i="1"/>
  <c r="AE705" i="1"/>
  <c r="CS705" i="1" s="1"/>
  <c r="R705" i="1" s="1"/>
  <c r="GK705" i="1" s="1"/>
  <c r="AF705" i="1"/>
  <c r="CT705" i="1" s="1"/>
  <c r="AG705" i="1"/>
  <c r="CU705" i="1" s="1"/>
  <c r="T705" i="1" s="1"/>
  <c r="AH705" i="1"/>
  <c r="CV705" i="1" s="1"/>
  <c r="AI705" i="1"/>
  <c r="CW705" i="1" s="1"/>
  <c r="V705" i="1" s="1"/>
  <c r="AJ705" i="1"/>
  <c r="CX705" i="1" s="1"/>
  <c r="CQ705" i="1"/>
  <c r="P705" i="1" s="1"/>
  <c r="FR705" i="1"/>
  <c r="GL705" i="1"/>
  <c r="GN705" i="1"/>
  <c r="GO705" i="1"/>
  <c r="GV705" i="1"/>
  <c r="HC705" i="1" s="1"/>
  <c r="GX705" i="1" s="1"/>
  <c r="D706" i="1"/>
  <c r="I706" i="1"/>
  <c r="K706" i="1"/>
  <c r="AC706" i="1"/>
  <c r="CQ706" i="1" s="1"/>
  <c r="P706" i="1" s="1"/>
  <c r="AE706" i="1"/>
  <c r="AD706" i="1" s="1"/>
  <c r="AF706" i="1"/>
  <c r="CT706" i="1" s="1"/>
  <c r="S706" i="1" s="1"/>
  <c r="AG706" i="1"/>
  <c r="AH706" i="1"/>
  <c r="CV706" i="1" s="1"/>
  <c r="U706" i="1" s="1"/>
  <c r="AI706" i="1"/>
  <c r="CW706" i="1" s="1"/>
  <c r="V706" i="1" s="1"/>
  <c r="AJ706" i="1"/>
  <c r="CX706" i="1" s="1"/>
  <c r="W706" i="1" s="1"/>
  <c r="CR706" i="1"/>
  <c r="Q706" i="1" s="1"/>
  <c r="CS706" i="1"/>
  <c r="R706" i="1" s="1"/>
  <c r="GK706" i="1" s="1"/>
  <c r="CU706" i="1"/>
  <c r="T706" i="1" s="1"/>
  <c r="FR706" i="1"/>
  <c r="GL706" i="1"/>
  <c r="GN706" i="1"/>
  <c r="GO706" i="1"/>
  <c r="GV706" i="1"/>
  <c r="HC706" i="1"/>
  <c r="GX706" i="1" s="1"/>
  <c r="D707" i="1"/>
  <c r="I707" i="1"/>
  <c r="K707" i="1"/>
  <c r="Q707" i="1"/>
  <c r="AC707" i="1"/>
  <c r="CQ707" i="1" s="1"/>
  <c r="AE707" i="1"/>
  <c r="CR707" i="1" s="1"/>
  <c r="AF707" i="1"/>
  <c r="AG707" i="1"/>
  <c r="CU707" i="1" s="1"/>
  <c r="AH707" i="1"/>
  <c r="AI707" i="1"/>
  <c r="CW707" i="1" s="1"/>
  <c r="V707" i="1" s="1"/>
  <c r="AJ707" i="1"/>
  <c r="CX707" i="1" s="1"/>
  <c r="CT707" i="1"/>
  <c r="CV707" i="1"/>
  <c r="U707" i="1" s="1"/>
  <c r="FR707" i="1"/>
  <c r="GL707" i="1"/>
  <c r="GN707" i="1"/>
  <c r="GO707" i="1"/>
  <c r="GV707" i="1"/>
  <c r="HC707" i="1"/>
  <c r="D708" i="1"/>
  <c r="I708" i="1"/>
  <c r="K708" i="1"/>
  <c r="AC708" i="1"/>
  <c r="AE708" i="1"/>
  <c r="AF708" i="1"/>
  <c r="CT708" i="1" s="1"/>
  <c r="S708" i="1" s="1"/>
  <c r="AG708" i="1"/>
  <c r="CU708" i="1" s="1"/>
  <c r="T708" i="1" s="1"/>
  <c r="AH708" i="1"/>
  <c r="CV708" i="1" s="1"/>
  <c r="AI708" i="1"/>
  <c r="CW708" i="1" s="1"/>
  <c r="V708" i="1" s="1"/>
  <c r="AJ708" i="1"/>
  <c r="CX708" i="1" s="1"/>
  <c r="W708" i="1" s="1"/>
  <c r="FR708" i="1"/>
  <c r="GL708" i="1"/>
  <c r="GN708" i="1"/>
  <c r="GO708" i="1"/>
  <c r="GV708" i="1"/>
  <c r="HC708" i="1" s="1"/>
  <c r="GX708" i="1" s="1"/>
  <c r="D709" i="1"/>
  <c r="S709" i="1"/>
  <c r="CZ709" i="1" s="1"/>
  <c r="Y709" i="1" s="1"/>
  <c r="AC709" i="1"/>
  <c r="AE709" i="1"/>
  <c r="AD709" i="1" s="1"/>
  <c r="AF709" i="1"/>
  <c r="AG709" i="1"/>
  <c r="CU709" i="1" s="1"/>
  <c r="T709" i="1" s="1"/>
  <c r="AH709" i="1"/>
  <c r="AI709" i="1"/>
  <c r="CW709" i="1" s="1"/>
  <c r="V709" i="1" s="1"/>
  <c r="AJ709" i="1"/>
  <c r="CX709" i="1" s="1"/>
  <c r="W709" i="1" s="1"/>
  <c r="CQ709" i="1"/>
  <c r="P709" i="1" s="1"/>
  <c r="CT709" i="1"/>
  <c r="CV709" i="1"/>
  <c r="U709" i="1" s="1"/>
  <c r="FR709" i="1"/>
  <c r="GL709" i="1"/>
  <c r="GN709" i="1"/>
  <c r="GO709" i="1"/>
  <c r="GV709" i="1"/>
  <c r="HC709" i="1" s="1"/>
  <c r="GX709" i="1"/>
  <c r="D710" i="1"/>
  <c r="I710" i="1"/>
  <c r="K710" i="1"/>
  <c r="W710" i="1"/>
  <c r="AC710" i="1"/>
  <c r="CQ710" i="1" s="1"/>
  <c r="AE710" i="1"/>
  <c r="AF710" i="1"/>
  <c r="CT710" i="1" s="1"/>
  <c r="AG710" i="1"/>
  <c r="AH710" i="1"/>
  <c r="CV710" i="1" s="1"/>
  <c r="AI710" i="1"/>
  <c r="AJ710" i="1"/>
  <c r="CR710" i="1"/>
  <c r="CU710" i="1"/>
  <c r="T710" i="1" s="1"/>
  <c r="CW710" i="1"/>
  <c r="CX710" i="1"/>
  <c r="FR710" i="1"/>
  <c r="GL710" i="1"/>
  <c r="GN710" i="1"/>
  <c r="GO710" i="1"/>
  <c r="GV710" i="1"/>
  <c r="HC710" i="1"/>
  <c r="D711" i="1"/>
  <c r="I711" i="1"/>
  <c r="K711" i="1"/>
  <c r="AC711" i="1"/>
  <c r="AE711" i="1"/>
  <c r="AF711" i="1"/>
  <c r="AG711" i="1"/>
  <c r="CU711" i="1" s="1"/>
  <c r="AH711" i="1"/>
  <c r="CV711" i="1" s="1"/>
  <c r="U711" i="1" s="1"/>
  <c r="AI711" i="1"/>
  <c r="CW711" i="1" s="1"/>
  <c r="AJ711" i="1"/>
  <c r="CX711" i="1" s="1"/>
  <c r="FR711" i="1"/>
  <c r="GL711" i="1"/>
  <c r="GN711" i="1"/>
  <c r="GO711" i="1"/>
  <c r="GV711" i="1"/>
  <c r="HC711" i="1"/>
  <c r="D712" i="1"/>
  <c r="I712" i="1"/>
  <c r="K712" i="1"/>
  <c r="AC712" i="1"/>
  <c r="AE712" i="1"/>
  <c r="AF712" i="1"/>
  <c r="CT712" i="1" s="1"/>
  <c r="S712" i="1" s="1"/>
  <c r="AG712" i="1"/>
  <c r="CU712" i="1" s="1"/>
  <c r="T712" i="1" s="1"/>
  <c r="AH712" i="1"/>
  <c r="CV712" i="1" s="1"/>
  <c r="U712" i="1" s="1"/>
  <c r="AI712" i="1"/>
  <c r="CW712" i="1" s="1"/>
  <c r="AJ712" i="1"/>
  <c r="CX712" i="1" s="1"/>
  <c r="CQ712" i="1"/>
  <c r="P712" i="1" s="1"/>
  <c r="FR712" i="1"/>
  <c r="GL712" i="1"/>
  <c r="GN712" i="1"/>
  <c r="GO712" i="1"/>
  <c r="GV712" i="1"/>
  <c r="HC712" i="1" s="1"/>
  <c r="D713" i="1"/>
  <c r="I713" i="1"/>
  <c r="S713" i="1" s="1"/>
  <c r="K713" i="1"/>
  <c r="AC713" i="1"/>
  <c r="AD713" i="1"/>
  <c r="AE713" i="1"/>
  <c r="AF713" i="1"/>
  <c r="AG713" i="1"/>
  <c r="CU713" i="1" s="1"/>
  <c r="T713" i="1" s="1"/>
  <c r="AH713" i="1"/>
  <c r="AI713" i="1"/>
  <c r="CW713" i="1" s="1"/>
  <c r="V713" i="1" s="1"/>
  <c r="AJ713" i="1"/>
  <c r="CX713" i="1" s="1"/>
  <c r="CQ713" i="1"/>
  <c r="P713" i="1" s="1"/>
  <c r="CR713" i="1"/>
  <c r="CS713" i="1"/>
  <c r="CT713" i="1"/>
  <c r="CV713" i="1"/>
  <c r="U713" i="1" s="1"/>
  <c r="FR713" i="1"/>
  <c r="GL713" i="1"/>
  <c r="GN713" i="1"/>
  <c r="GO713" i="1"/>
  <c r="GV713" i="1"/>
  <c r="HC713" i="1" s="1"/>
  <c r="GX713" i="1" s="1"/>
  <c r="D714" i="1"/>
  <c r="I714" i="1"/>
  <c r="K714" i="1"/>
  <c r="AC714" i="1"/>
  <c r="CQ714" i="1" s="1"/>
  <c r="AE714" i="1"/>
  <c r="CS714" i="1" s="1"/>
  <c r="AF714" i="1"/>
  <c r="AG714" i="1"/>
  <c r="CU714" i="1" s="1"/>
  <c r="T714" i="1" s="1"/>
  <c r="AH714" i="1"/>
  <c r="CV714" i="1" s="1"/>
  <c r="AI714" i="1"/>
  <c r="CW714" i="1" s="1"/>
  <c r="AJ714" i="1"/>
  <c r="CT714" i="1"/>
  <c r="CX714" i="1"/>
  <c r="FR714" i="1"/>
  <c r="GL714" i="1"/>
  <c r="GN714" i="1"/>
  <c r="GO714" i="1"/>
  <c r="GV714" i="1"/>
  <c r="HC714" i="1"/>
  <c r="D715" i="1"/>
  <c r="I715" i="1"/>
  <c r="K715" i="1"/>
  <c r="AC715" i="1"/>
  <c r="CQ715" i="1" s="1"/>
  <c r="P715" i="1" s="1"/>
  <c r="AE715" i="1"/>
  <c r="AF715" i="1"/>
  <c r="CT715" i="1" s="1"/>
  <c r="S715" i="1" s="1"/>
  <c r="CY715" i="1" s="1"/>
  <c r="X715" i="1" s="1"/>
  <c r="AG715" i="1"/>
  <c r="CU715" i="1" s="1"/>
  <c r="T715" i="1" s="1"/>
  <c r="AH715" i="1"/>
  <c r="AI715" i="1"/>
  <c r="CW715" i="1" s="1"/>
  <c r="V715" i="1" s="1"/>
  <c r="AJ715" i="1"/>
  <c r="CV715" i="1"/>
  <c r="U715" i="1" s="1"/>
  <c r="CX715" i="1"/>
  <c r="W715" i="1" s="1"/>
  <c r="FR715" i="1"/>
  <c r="GL715" i="1"/>
  <c r="GN715" i="1"/>
  <c r="GO715" i="1"/>
  <c r="GV715" i="1"/>
  <c r="HC715" i="1" s="1"/>
  <c r="GX715" i="1" s="1"/>
  <c r="D716" i="1"/>
  <c r="I716" i="1"/>
  <c r="K716" i="1"/>
  <c r="AC716" i="1"/>
  <c r="CQ716" i="1" s="1"/>
  <c r="AE716" i="1"/>
  <c r="CR716" i="1" s="1"/>
  <c r="Q716" i="1" s="1"/>
  <c r="AF716" i="1"/>
  <c r="AG716" i="1"/>
  <c r="AH716" i="1"/>
  <c r="CV716" i="1" s="1"/>
  <c r="AI716" i="1"/>
  <c r="CW716" i="1" s="1"/>
  <c r="AJ716" i="1"/>
  <c r="CX716" i="1" s="1"/>
  <c r="CU716" i="1"/>
  <c r="FR716" i="1"/>
  <c r="GL716" i="1"/>
  <c r="GN716" i="1"/>
  <c r="GO716" i="1"/>
  <c r="GV716" i="1"/>
  <c r="HC716" i="1" s="1"/>
  <c r="D717" i="1"/>
  <c r="I717" i="1"/>
  <c r="K717" i="1"/>
  <c r="Q717" i="1"/>
  <c r="AC717" i="1"/>
  <c r="AD717" i="1"/>
  <c r="AE717" i="1"/>
  <c r="AF717" i="1"/>
  <c r="AG717" i="1"/>
  <c r="CU717" i="1" s="1"/>
  <c r="T717" i="1" s="1"/>
  <c r="AH717" i="1"/>
  <c r="AI717" i="1"/>
  <c r="CW717" i="1" s="1"/>
  <c r="V717" i="1" s="1"/>
  <c r="AJ717" i="1"/>
  <c r="CX717" i="1" s="1"/>
  <c r="CQ717" i="1"/>
  <c r="P717" i="1" s="1"/>
  <c r="CR717" i="1"/>
  <c r="CS717" i="1"/>
  <c r="R717" i="1" s="1"/>
  <c r="GK717" i="1" s="1"/>
  <c r="CT717" i="1"/>
  <c r="CV717" i="1"/>
  <c r="U717" i="1" s="1"/>
  <c r="FR717" i="1"/>
  <c r="GL717" i="1"/>
  <c r="GN717" i="1"/>
  <c r="GO717" i="1"/>
  <c r="GV717" i="1"/>
  <c r="HC717" i="1" s="1"/>
  <c r="GX717" i="1" s="1"/>
  <c r="D718" i="1"/>
  <c r="I718" i="1"/>
  <c r="K718" i="1"/>
  <c r="AC718" i="1"/>
  <c r="CQ718" i="1" s="1"/>
  <c r="P718" i="1" s="1"/>
  <c r="AE718" i="1"/>
  <c r="AF718" i="1"/>
  <c r="AG718" i="1"/>
  <c r="CU718" i="1" s="1"/>
  <c r="AH718" i="1"/>
  <c r="CV718" i="1" s="1"/>
  <c r="AI718" i="1"/>
  <c r="AJ718" i="1"/>
  <c r="CX718" i="1" s="1"/>
  <c r="W718" i="1" s="1"/>
  <c r="CT718" i="1"/>
  <c r="S718" i="1" s="1"/>
  <c r="CZ718" i="1" s="1"/>
  <c r="Y718" i="1" s="1"/>
  <c r="CW718" i="1"/>
  <c r="V718" i="1" s="1"/>
  <c r="FR718" i="1"/>
  <c r="GL718" i="1"/>
  <c r="GN718" i="1"/>
  <c r="GO718" i="1"/>
  <c r="GV718" i="1"/>
  <c r="HC718" i="1"/>
  <c r="GX718" i="1" s="1"/>
  <c r="D719" i="1"/>
  <c r="I719" i="1"/>
  <c r="T719" i="1" s="1"/>
  <c r="K719" i="1"/>
  <c r="AC719" i="1"/>
  <c r="AE719" i="1"/>
  <c r="AF719" i="1"/>
  <c r="CT719" i="1" s="1"/>
  <c r="AG719" i="1"/>
  <c r="CU719" i="1" s="1"/>
  <c r="AH719" i="1"/>
  <c r="CV719" i="1" s="1"/>
  <c r="U719" i="1" s="1"/>
  <c r="AI719" i="1"/>
  <c r="CW719" i="1" s="1"/>
  <c r="AJ719" i="1"/>
  <c r="CQ719" i="1"/>
  <c r="CX719" i="1"/>
  <c r="FR719" i="1"/>
  <c r="GL719" i="1"/>
  <c r="GN719" i="1"/>
  <c r="GO719" i="1"/>
  <c r="GV719" i="1"/>
  <c r="HC719" i="1" s="1"/>
  <c r="D720" i="1"/>
  <c r="I720" i="1"/>
  <c r="K720" i="1"/>
  <c r="Q720" i="1"/>
  <c r="AC720" i="1"/>
  <c r="AE720" i="1"/>
  <c r="AF720" i="1"/>
  <c r="AG720" i="1"/>
  <c r="CU720" i="1" s="1"/>
  <c r="T720" i="1" s="1"/>
  <c r="AH720" i="1"/>
  <c r="CV720" i="1" s="1"/>
  <c r="U720" i="1" s="1"/>
  <c r="AI720" i="1"/>
  <c r="CW720" i="1" s="1"/>
  <c r="AJ720" i="1"/>
  <c r="CX720" i="1" s="1"/>
  <c r="CQ720" i="1"/>
  <c r="P720" i="1" s="1"/>
  <c r="CR720" i="1"/>
  <c r="FR720" i="1"/>
  <c r="GL720" i="1"/>
  <c r="GN720" i="1"/>
  <c r="GO720" i="1"/>
  <c r="GV720" i="1"/>
  <c r="HC720" i="1" s="1"/>
  <c r="GX720" i="1" s="1"/>
  <c r="D721" i="1"/>
  <c r="I721" i="1"/>
  <c r="K721" i="1"/>
  <c r="W721" i="1"/>
  <c r="AC721" i="1"/>
  <c r="AE721" i="1"/>
  <c r="AD721" i="1" s="1"/>
  <c r="AF721" i="1"/>
  <c r="AG721" i="1"/>
  <c r="CU721" i="1" s="1"/>
  <c r="T721" i="1" s="1"/>
  <c r="AH721" i="1"/>
  <c r="AI721" i="1"/>
  <c r="CW721" i="1" s="1"/>
  <c r="V721" i="1" s="1"/>
  <c r="AJ721" i="1"/>
  <c r="CX721" i="1" s="1"/>
  <c r="CQ721" i="1"/>
  <c r="P721" i="1" s="1"/>
  <c r="CR721" i="1"/>
  <c r="CT721" i="1"/>
  <c r="S721" i="1" s="1"/>
  <c r="CV721" i="1"/>
  <c r="FR721" i="1"/>
  <c r="GL721" i="1"/>
  <c r="GN721" i="1"/>
  <c r="GO721" i="1"/>
  <c r="GV721" i="1"/>
  <c r="HC721" i="1" s="1"/>
  <c r="D722" i="1"/>
  <c r="I722" i="1"/>
  <c r="K722" i="1"/>
  <c r="AC722" i="1"/>
  <c r="CQ722" i="1" s="1"/>
  <c r="P722" i="1" s="1"/>
  <c r="AE722" i="1"/>
  <c r="AF722" i="1"/>
  <c r="AG722" i="1"/>
  <c r="CU722" i="1" s="1"/>
  <c r="T722" i="1" s="1"/>
  <c r="AH722" i="1"/>
  <c r="CV722" i="1" s="1"/>
  <c r="U722" i="1" s="1"/>
  <c r="AI722" i="1"/>
  <c r="AJ722" i="1"/>
  <c r="CX722" i="1" s="1"/>
  <c r="W722" i="1" s="1"/>
  <c r="CT722" i="1"/>
  <c r="S722" i="1" s="1"/>
  <c r="CW722" i="1"/>
  <c r="V722" i="1" s="1"/>
  <c r="FR722" i="1"/>
  <c r="GL722" i="1"/>
  <c r="GN722" i="1"/>
  <c r="GO722" i="1"/>
  <c r="GV722" i="1"/>
  <c r="HC722" i="1"/>
  <c r="GX722" i="1" s="1"/>
  <c r="D723" i="1"/>
  <c r="I723" i="1"/>
  <c r="K723" i="1"/>
  <c r="AC723" i="1"/>
  <c r="AE723" i="1"/>
  <c r="AF723" i="1"/>
  <c r="CT723" i="1" s="1"/>
  <c r="S723" i="1" s="1"/>
  <c r="CY723" i="1" s="1"/>
  <c r="X723" i="1" s="1"/>
  <c r="AG723" i="1"/>
  <c r="CU723" i="1" s="1"/>
  <c r="T723" i="1" s="1"/>
  <c r="AH723" i="1"/>
  <c r="AI723" i="1"/>
  <c r="CW723" i="1" s="1"/>
  <c r="AJ723" i="1"/>
  <c r="CV723" i="1"/>
  <c r="U723" i="1" s="1"/>
  <c r="CX723" i="1"/>
  <c r="W723" i="1" s="1"/>
  <c r="FR723" i="1"/>
  <c r="GL723" i="1"/>
  <c r="GN723" i="1"/>
  <c r="GO723" i="1"/>
  <c r="GV723" i="1"/>
  <c r="HC723" i="1"/>
  <c r="GX723" i="1" s="1"/>
  <c r="D724" i="1"/>
  <c r="I724" i="1"/>
  <c r="K724" i="1"/>
  <c r="AC724" i="1"/>
  <c r="CQ724" i="1" s="1"/>
  <c r="P724" i="1" s="1"/>
  <c r="AE724" i="1"/>
  <c r="AF724" i="1"/>
  <c r="AG724" i="1"/>
  <c r="CU724" i="1" s="1"/>
  <c r="T724" i="1" s="1"/>
  <c r="AH724" i="1"/>
  <c r="CV724" i="1" s="1"/>
  <c r="U724" i="1" s="1"/>
  <c r="AI724" i="1"/>
  <c r="CW724" i="1" s="1"/>
  <c r="V724" i="1" s="1"/>
  <c r="AJ724" i="1"/>
  <c r="CX724" i="1" s="1"/>
  <c r="W724" i="1" s="1"/>
  <c r="CR724" i="1"/>
  <c r="Q724" i="1" s="1"/>
  <c r="FR724" i="1"/>
  <c r="GL724" i="1"/>
  <c r="GN724" i="1"/>
  <c r="GO724" i="1"/>
  <c r="GV724" i="1"/>
  <c r="HC724" i="1" s="1"/>
  <c r="GX724" i="1" s="1"/>
  <c r="D725" i="1"/>
  <c r="I725" i="1"/>
  <c r="K725" i="1"/>
  <c r="V725" i="1"/>
  <c r="AC725" i="1"/>
  <c r="CQ725" i="1" s="1"/>
  <c r="P725" i="1" s="1"/>
  <c r="AE725" i="1"/>
  <c r="CR725" i="1" s="1"/>
  <c r="Q725" i="1" s="1"/>
  <c r="AF725" i="1"/>
  <c r="AG725" i="1"/>
  <c r="AH725" i="1"/>
  <c r="CV725" i="1" s="1"/>
  <c r="U725" i="1" s="1"/>
  <c r="AI725" i="1"/>
  <c r="CW725" i="1" s="1"/>
  <c r="AJ725" i="1"/>
  <c r="CX725" i="1" s="1"/>
  <c r="W725" i="1" s="1"/>
  <c r="CT725" i="1"/>
  <c r="S725" i="1" s="1"/>
  <c r="CU725" i="1"/>
  <c r="T725" i="1" s="1"/>
  <c r="FR725" i="1"/>
  <c r="GL725" i="1"/>
  <c r="GN725" i="1"/>
  <c r="GO725" i="1"/>
  <c r="GV725" i="1"/>
  <c r="HC725" i="1"/>
  <c r="GX725" i="1" s="1"/>
  <c r="B727" i="1"/>
  <c r="B697" i="1" s="1"/>
  <c r="C727" i="1"/>
  <c r="C697" i="1" s="1"/>
  <c r="D727" i="1"/>
  <c r="D697" i="1" s="1"/>
  <c r="F727" i="1"/>
  <c r="F697" i="1" s="1"/>
  <c r="G727" i="1"/>
  <c r="BX727" i="1"/>
  <c r="BX697" i="1" s="1"/>
  <c r="CC727" i="1"/>
  <c r="CC697" i="1" s="1"/>
  <c r="CK727" i="1"/>
  <c r="CK697" i="1" s="1"/>
  <c r="CL727" i="1"/>
  <c r="BC727" i="1" s="1"/>
  <c r="CM727" i="1"/>
  <c r="CM697" i="1" s="1"/>
  <c r="B757" i="1"/>
  <c r="B591" i="1" s="1"/>
  <c r="C757" i="1"/>
  <c r="C591" i="1" s="1"/>
  <c r="D757" i="1"/>
  <c r="D591" i="1" s="1"/>
  <c r="F757" i="1"/>
  <c r="F591" i="1" s="1"/>
  <c r="G757" i="1"/>
  <c r="B787" i="1"/>
  <c r="B22" i="1" s="1"/>
  <c r="C787" i="1"/>
  <c r="C22" i="1" s="1"/>
  <c r="D787" i="1"/>
  <c r="D22" i="1" s="1"/>
  <c r="F787" i="1"/>
  <c r="F22" i="1" s="1"/>
  <c r="G787" i="1"/>
  <c r="B817" i="1"/>
  <c r="B18" i="1" s="1"/>
  <c r="C817" i="1"/>
  <c r="C18" i="1" s="1"/>
  <c r="D817" i="1"/>
  <c r="D18" i="1" s="1"/>
  <c r="F817" i="1"/>
  <c r="F18" i="1" s="1"/>
  <c r="G817" i="1"/>
  <c r="G18" i="1" s="1"/>
  <c r="F12" i="6"/>
  <c r="G12" i="6"/>
  <c r="CY12" i="6"/>
  <c r="K750" i="8" l="1"/>
  <c r="J744" i="7"/>
  <c r="K744" i="8"/>
  <c r="J738" i="7"/>
  <c r="CY609" i="1"/>
  <c r="X609" i="1" s="1"/>
  <c r="CZ609" i="1"/>
  <c r="Y609" i="1" s="1"/>
  <c r="GK604" i="1"/>
  <c r="K721" i="8"/>
  <c r="J715" i="7"/>
  <c r="K854" i="7"/>
  <c r="L860" i="8"/>
  <c r="L740" i="8"/>
  <c r="K734" i="7"/>
  <c r="CY657" i="1"/>
  <c r="X657" i="1" s="1"/>
  <c r="CZ657" i="1"/>
  <c r="Y657" i="1" s="1"/>
  <c r="K789" i="8"/>
  <c r="J783" i="7"/>
  <c r="L802" i="8"/>
  <c r="K796" i="7"/>
  <c r="V773" i="8"/>
  <c r="K780" i="8" s="1"/>
  <c r="V767" i="7"/>
  <c r="J774" i="7" s="1"/>
  <c r="R655" i="1"/>
  <c r="K767" i="8"/>
  <c r="J761" i="7"/>
  <c r="L747" i="8"/>
  <c r="K741" i="7"/>
  <c r="CP724" i="1"/>
  <c r="O724" i="1" s="1"/>
  <c r="K865" i="8"/>
  <c r="J859" i="7"/>
  <c r="CZ713" i="1"/>
  <c r="Y713" i="1" s="1"/>
  <c r="K822" i="8"/>
  <c r="J816" i="7"/>
  <c r="CZ706" i="1"/>
  <c r="Y706" i="1" s="1"/>
  <c r="CY706" i="1"/>
  <c r="X706" i="1" s="1"/>
  <c r="CZ704" i="1"/>
  <c r="Y704" i="1" s="1"/>
  <c r="CY704" i="1"/>
  <c r="X704" i="1" s="1"/>
  <c r="K857" i="8"/>
  <c r="J851" i="7"/>
  <c r="K830" i="8"/>
  <c r="J824" i="7"/>
  <c r="CP706" i="1"/>
  <c r="O706" i="1" s="1"/>
  <c r="T832" i="7"/>
  <c r="J837" i="7" s="1"/>
  <c r="T838" i="8"/>
  <c r="K843" i="8" s="1"/>
  <c r="L793" i="8"/>
  <c r="K787" i="7"/>
  <c r="K849" i="8"/>
  <c r="J843" i="7"/>
  <c r="CT724" i="1"/>
  <c r="S724" i="1" s="1"/>
  <c r="S862" i="8"/>
  <c r="Q862" i="8"/>
  <c r="Q856" i="7"/>
  <c r="S856" i="7"/>
  <c r="CS721" i="1"/>
  <c r="R721" i="1" s="1"/>
  <c r="GK721" i="1" s="1"/>
  <c r="S838" i="8"/>
  <c r="Q838" i="8"/>
  <c r="Q832" i="7"/>
  <c r="S832" i="7"/>
  <c r="AB717" i="1"/>
  <c r="AB713" i="1"/>
  <c r="CS709" i="1"/>
  <c r="R709" i="1" s="1"/>
  <c r="GK709" i="1" s="1"/>
  <c r="CR701" i="1"/>
  <c r="Q701" i="1" s="1"/>
  <c r="CP701" i="1" s="1"/>
  <c r="O701" i="1" s="1"/>
  <c r="AD699" i="1"/>
  <c r="U788" i="8"/>
  <c r="U782" i="7"/>
  <c r="BC665" i="1"/>
  <c r="AD655" i="1"/>
  <c r="CS653" i="1"/>
  <c r="R653" i="1" s="1"/>
  <c r="GK653" i="1" s="1"/>
  <c r="AD612" i="1"/>
  <c r="U749" i="8"/>
  <c r="U743" i="7"/>
  <c r="CS609" i="1"/>
  <c r="GX605" i="1"/>
  <c r="CJ618" i="1" s="1"/>
  <c r="L725" i="8"/>
  <c r="K719" i="7"/>
  <c r="AD603" i="1"/>
  <c r="K710" i="8"/>
  <c r="J704" i="7"/>
  <c r="W599" i="1"/>
  <c r="CZ508" i="1"/>
  <c r="Y508" i="1" s="1"/>
  <c r="CY508" i="1"/>
  <c r="X508" i="1" s="1"/>
  <c r="CT506" i="1"/>
  <c r="S506" i="1" s="1"/>
  <c r="S591" i="8"/>
  <c r="Q591" i="8"/>
  <c r="Q585" i="7"/>
  <c r="S585" i="7"/>
  <c r="K538" i="8"/>
  <c r="J532" i="7"/>
  <c r="CZ424" i="1"/>
  <c r="Y424" i="1" s="1"/>
  <c r="CY424" i="1"/>
  <c r="X424" i="1" s="1"/>
  <c r="CB279" i="1"/>
  <c r="U862" i="8"/>
  <c r="U856" i="7"/>
  <c r="Q721" i="1"/>
  <c r="S719" i="1"/>
  <c r="CY719" i="1" s="1"/>
  <c r="X719" i="1" s="1"/>
  <c r="CS718" i="1"/>
  <c r="U838" i="8"/>
  <c r="U832" i="7"/>
  <c r="S717" i="1"/>
  <c r="R714" i="1"/>
  <c r="GK714" i="1" s="1"/>
  <c r="W713" i="1"/>
  <c r="P710" i="1"/>
  <c r="D805" i="8"/>
  <c r="C799" i="7"/>
  <c r="F804" i="8"/>
  <c r="E798" i="7"/>
  <c r="CR709" i="1"/>
  <c r="Q709" i="1" s="1"/>
  <c r="W703" i="1"/>
  <c r="F795" i="8"/>
  <c r="D796" i="8"/>
  <c r="E789" i="7"/>
  <c r="C790" i="7"/>
  <c r="AB655" i="1"/>
  <c r="AI665" i="1"/>
  <c r="S613" i="1"/>
  <c r="BY618" i="1"/>
  <c r="CR510" i="1"/>
  <c r="CS510" i="1"/>
  <c r="AD510" i="1"/>
  <c r="CY507" i="1"/>
  <c r="X507" i="1" s="1"/>
  <c r="CZ507" i="1"/>
  <c r="Y507" i="1" s="1"/>
  <c r="BC458" i="1"/>
  <c r="F485" i="1"/>
  <c r="GK461" i="1"/>
  <c r="K548" i="8"/>
  <c r="J542" i="7"/>
  <c r="G405" i="1"/>
  <c r="A523" i="7"/>
  <c r="A529" i="8"/>
  <c r="L427" i="8"/>
  <c r="K421" i="7"/>
  <c r="CT318" i="1"/>
  <c r="S318" i="1" s="1"/>
  <c r="S376" i="8"/>
  <c r="Q376" i="8"/>
  <c r="S370" i="7"/>
  <c r="Q370" i="7"/>
  <c r="CZ236" i="1"/>
  <c r="Y236" i="1" s="1"/>
  <c r="CY236" i="1"/>
  <c r="X236" i="1" s="1"/>
  <c r="L825" i="8"/>
  <c r="K819" i="7"/>
  <c r="CP704" i="1"/>
  <c r="O704" i="1" s="1"/>
  <c r="GM704" i="1" s="1"/>
  <c r="GP704" i="1" s="1"/>
  <c r="G22" i="1"/>
  <c r="A877" i="8"/>
  <c r="A871" i="7"/>
  <c r="J850" i="7"/>
  <c r="K856" i="8"/>
  <c r="D855" i="8"/>
  <c r="E848" i="7"/>
  <c r="F854" i="8"/>
  <c r="C849" i="7"/>
  <c r="L852" i="8"/>
  <c r="K846" i="7"/>
  <c r="K841" i="8"/>
  <c r="J835" i="7"/>
  <c r="W716" i="1"/>
  <c r="P714" i="1"/>
  <c r="R713" i="1"/>
  <c r="GK713" i="1" s="1"/>
  <c r="V820" i="8"/>
  <c r="V814" i="7"/>
  <c r="T711" i="1"/>
  <c r="AG727" i="1" s="1"/>
  <c r="D813" i="8"/>
  <c r="F812" i="8"/>
  <c r="C807" i="7"/>
  <c r="E806" i="7"/>
  <c r="AB703" i="1"/>
  <c r="AQ665" i="1"/>
  <c r="K774" i="8"/>
  <c r="J768" i="7"/>
  <c r="L771" i="8"/>
  <c r="K765" i="7"/>
  <c r="F727" i="8"/>
  <c r="D728" i="8"/>
  <c r="E721" i="7"/>
  <c r="C722" i="7"/>
  <c r="V718" i="8"/>
  <c r="K724" i="8" s="1"/>
  <c r="V712" i="7"/>
  <c r="J718" i="7" s="1"/>
  <c r="K678" i="8"/>
  <c r="J672" i="7"/>
  <c r="L553" i="8"/>
  <c r="K547" i="7"/>
  <c r="CB405" i="1"/>
  <c r="AS426" i="1"/>
  <c r="F443" i="1" s="1"/>
  <c r="T414" i="8"/>
  <c r="K419" i="8" s="1"/>
  <c r="T408" i="7"/>
  <c r="J413" i="7" s="1"/>
  <c r="Q345" i="8"/>
  <c r="S345" i="8"/>
  <c r="S339" i="7"/>
  <c r="Q339" i="7"/>
  <c r="CT277" i="1"/>
  <c r="S277" i="1" s="1"/>
  <c r="K719" i="8"/>
  <c r="J713" i="7"/>
  <c r="BB426" i="1"/>
  <c r="F439" i="1" s="1"/>
  <c r="CK405" i="1"/>
  <c r="CR416" i="1"/>
  <c r="CS416" i="1"/>
  <c r="Q713" i="1"/>
  <c r="Q710" i="1"/>
  <c r="W707" i="1"/>
  <c r="GX701" i="1"/>
  <c r="F690" i="1"/>
  <c r="AB661" i="1"/>
  <c r="BD618" i="1"/>
  <c r="P616" i="1"/>
  <c r="T614" i="1"/>
  <c r="AD613" i="1"/>
  <c r="W609" i="1"/>
  <c r="T608" i="1"/>
  <c r="S734" i="8"/>
  <c r="Q734" i="8"/>
  <c r="Q728" i="7"/>
  <c r="S728" i="7"/>
  <c r="R599" i="1"/>
  <c r="GK599" i="1" s="1"/>
  <c r="K661" i="8"/>
  <c r="J655" i="7"/>
  <c r="L648" i="8"/>
  <c r="K642" i="7"/>
  <c r="CT465" i="1"/>
  <c r="S562" i="8"/>
  <c r="Q556" i="7"/>
  <c r="Q562" i="8"/>
  <c r="S556" i="7"/>
  <c r="V544" i="8"/>
  <c r="K552" i="8" s="1"/>
  <c r="V538" i="7"/>
  <c r="J546" i="7" s="1"/>
  <c r="F544" i="8"/>
  <c r="D545" i="8"/>
  <c r="E538" i="7"/>
  <c r="C539" i="7"/>
  <c r="L542" i="8"/>
  <c r="K536" i="7"/>
  <c r="L526" i="8"/>
  <c r="K520" i="7"/>
  <c r="K516" i="8"/>
  <c r="J510" i="7"/>
  <c r="L494" i="8"/>
  <c r="K488" i="7"/>
  <c r="K443" i="8"/>
  <c r="J437" i="7"/>
  <c r="R398" i="8"/>
  <c r="K402" i="8" s="1"/>
  <c r="R392" i="7"/>
  <c r="J396" i="7" s="1"/>
  <c r="U773" i="8"/>
  <c r="U767" i="7"/>
  <c r="K709" i="8"/>
  <c r="J703" i="7"/>
  <c r="K618" i="8"/>
  <c r="J612" i="7"/>
  <c r="CY516" i="1"/>
  <c r="X516" i="1" s="1"/>
  <c r="CZ516" i="1"/>
  <c r="Y516" i="1" s="1"/>
  <c r="L336" i="8"/>
  <c r="K330" i="7"/>
  <c r="GX721" i="1"/>
  <c r="CT720" i="1"/>
  <c r="S720" i="1" s="1"/>
  <c r="CP720" i="1" s="1"/>
  <c r="O720" i="1" s="1"/>
  <c r="S846" i="8"/>
  <c r="Q846" i="8"/>
  <c r="S840" i="7"/>
  <c r="Q840" i="7"/>
  <c r="F838" i="8"/>
  <c r="C833" i="7"/>
  <c r="D839" i="8"/>
  <c r="E832" i="7"/>
  <c r="U716" i="1"/>
  <c r="W714" i="1"/>
  <c r="F820" i="8"/>
  <c r="D821" i="8"/>
  <c r="E814" i="7"/>
  <c r="C815" i="7"/>
  <c r="BY727" i="1"/>
  <c r="R703" i="1"/>
  <c r="GK703" i="1" s="1"/>
  <c r="V701" i="1"/>
  <c r="F678" i="1"/>
  <c r="S661" i="1"/>
  <c r="CR655" i="1"/>
  <c r="Q655" i="1" s="1"/>
  <c r="Q763" i="8"/>
  <c r="S763" i="8"/>
  <c r="Q757" i="7"/>
  <c r="S757" i="7"/>
  <c r="V613" i="1"/>
  <c r="P613" i="1"/>
  <c r="R612" i="1"/>
  <c r="V749" i="8"/>
  <c r="K755" i="8" s="1"/>
  <c r="V743" i="7"/>
  <c r="J749" i="7" s="1"/>
  <c r="Q611" i="1"/>
  <c r="D743" i="8"/>
  <c r="F742" i="8"/>
  <c r="C737" i="7"/>
  <c r="E736" i="7"/>
  <c r="S608" i="1"/>
  <c r="CY608" i="1" s="1"/>
  <c r="X608" i="1" s="1"/>
  <c r="AD606" i="1"/>
  <c r="U734" i="8"/>
  <c r="U728" i="7"/>
  <c r="U631" i="8"/>
  <c r="U625" i="7"/>
  <c r="S616" i="8"/>
  <c r="Q616" i="8"/>
  <c r="S610" i="7"/>
  <c r="Q610" i="7"/>
  <c r="P514" i="1"/>
  <c r="F591" i="8"/>
  <c r="D592" i="8"/>
  <c r="C586" i="7"/>
  <c r="E585" i="7"/>
  <c r="CQ503" i="1"/>
  <c r="P503" i="1" s="1"/>
  <c r="R464" i="1"/>
  <c r="GK464" i="1" s="1"/>
  <c r="V555" i="8"/>
  <c r="V549" i="7"/>
  <c r="V424" i="1"/>
  <c r="CS327" i="1"/>
  <c r="U422" i="8"/>
  <c r="U416" i="7"/>
  <c r="CR327" i="1"/>
  <c r="Q327" i="1" s="1"/>
  <c r="AD327" i="1"/>
  <c r="BD270" i="1"/>
  <c r="F304" i="1"/>
  <c r="T716" i="1"/>
  <c r="S788" i="8"/>
  <c r="Q788" i="8"/>
  <c r="S782" i="7"/>
  <c r="Q782" i="7"/>
  <c r="AO727" i="1"/>
  <c r="AD725" i="1"/>
  <c r="F862" i="8"/>
  <c r="D863" i="8"/>
  <c r="C857" i="7"/>
  <c r="E856" i="7"/>
  <c r="U846" i="8"/>
  <c r="U840" i="7"/>
  <c r="W717" i="1"/>
  <c r="U705" i="1"/>
  <c r="CR703" i="1"/>
  <c r="Q703" i="1" s="1"/>
  <c r="CP703" i="1" s="1"/>
  <c r="O703" i="1" s="1"/>
  <c r="V702" i="1"/>
  <c r="CS699" i="1"/>
  <c r="G650" i="1"/>
  <c r="A784" i="8"/>
  <c r="A778" i="7"/>
  <c r="CS661" i="1"/>
  <c r="R661" i="1" s="1"/>
  <c r="GK661" i="1" s="1"/>
  <c r="CQ655" i="1"/>
  <c r="P655" i="1" s="1"/>
  <c r="AC665" i="1" s="1"/>
  <c r="CR652" i="1"/>
  <c r="Q652" i="1" s="1"/>
  <c r="U763" i="8"/>
  <c r="U757" i="7"/>
  <c r="BB618" i="1"/>
  <c r="BB595" i="1" s="1"/>
  <c r="CS614" i="1"/>
  <c r="R614" i="1" s="1"/>
  <c r="GK614" i="1" s="1"/>
  <c r="CR612" i="1"/>
  <c r="Q612" i="1" s="1"/>
  <c r="K737" i="8"/>
  <c r="J731" i="7"/>
  <c r="CR603" i="1"/>
  <c r="Q603" i="1" s="1"/>
  <c r="P599" i="1"/>
  <c r="L577" i="8"/>
  <c r="K571" i="7"/>
  <c r="S521" i="8"/>
  <c r="Q521" i="8"/>
  <c r="S515" i="7"/>
  <c r="Q515" i="7"/>
  <c r="CT417" i="1"/>
  <c r="S417" i="1" s="1"/>
  <c r="U406" i="8"/>
  <c r="U400" i="7"/>
  <c r="CR325" i="1"/>
  <c r="Q325" i="1" s="1"/>
  <c r="CS325" i="1"/>
  <c r="AD325" i="1"/>
  <c r="S387" i="8"/>
  <c r="Q387" i="8"/>
  <c r="Q381" i="7"/>
  <c r="S381" i="7"/>
  <c r="CT319" i="1"/>
  <c r="S319" i="1" s="1"/>
  <c r="U727" i="8"/>
  <c r="U721" i="7"/>
  <c r="W719" i="1"/>
  <c r="CT716" i="1"/>
  <c r="S716" i="1" s="1"/>
  <c r="S827" i="8"/>
  <c r="Q827" i="8"/>
  <c r="S821" i="7"/>
  <c r="Q821" i="7"/>
  <c r="A759" i="8"/>
  <c r="A753" i="7"/>
  <c r="CP612" i="1"/>
  <c r="O612" i="1" s="1"/>
  <c r="R602" i="1"/>
  <c r="V707" i="8"/>
  <c r="K715" i="8" s="1"/>
  <c r="V701" i="7"/>
  <c r="J709" i="7" s="1"/>
  <c r="G595" i="1"/>
  <c r="D601" i="8"/>
  <c r="F600" i="8"/>
  <c r="C595" i="7"/>
  <c r="E594" i="7"/>
  <c r="L462" i="8"/>
  <c r="K456" i="7"/>
  <c r="AB335" i="1"/>
  <c r="CQ335" i="1"/>
  <c r="P335" i="1" s="1"/>
  <c r="K442" i="8"/>
  <c r="J436" i="7"/>
  <c r="CY329" i="1"/>
  <c r="X329" i="1" s="1"/>
  <c r="CZ329" i="1"/>
  <c r="Y329" i="1" s="1"/>
  <c r="V367" i="8"/>
  <c r="V361" i="7"/>
  <c r="U812" i="8"/>
  <c r="U806" i="7"/>
  <c r="G697" i="1"/>
  <c r="A871" i="8"/>
  <c r="A865" i="7"/>
  <c r="S854" i="8"/>
  <c r="Q854" i="8"/>
  <c r="S848" i="7"/>
  <c r="Q848" i="7"/>
  <c r="CR718" i="1"/>
  <c r="Q718" i="1" s="1"/>
  <c r="CP718" i="1" s="1"/>
  <c r="O718" i="1" s="1"/>
  <c r="U827" i="8"/>
  <c r="U821" i="7"/>
  <c r="S714" i="1"/>
  <c r="V711" i="1"/>
  <c r="BY665" i="1"/>
  <c r="BX650" i="1"/>
  <c r="CS613" i="1"/>
  <c r="R613" i="1" s="1"/>
  <c r="GK613" i="1" s="1"/>
  <c r="S742" i="8"/>
  <c r="Q742" i="8"/>
  <c r="Q736" i="7"/>
  <c r="S736" i="7"/>
  <c r="V605" i="1"/>
  <c r="Q718" i="8"/>
  <c r="S718" i="8"/>
  <c r="S712" i="7"/>
  <c r="Q712" i="7"/>
  <c r="K712" i="8"/>
  <c r="J706" i="7"/>
  <c r="GX599" i="1"/>
  <c r="K690" i="8"/>
  <c r="J684" i="7"/>
  <c r="S572" i="8"/>
  <c r="Q566" i="7"/>
  <c r="Q572" i="8"/>
  <c r="S566" i="7"/>
  <c r="CT467" i="1"/>
  <c r="S467" i="1" s="1"/>
  <c r="T465" i="1"/>
  <c r="D563" i="8"/>
  <c r="F562" i="8"/>
  <c r="E556" i="7"/>
  <c r="C557" i="7"/>
  <c r="CB339" i="1"/>
  <c r="BB469" i="1"/>
  <c r="CK458" i="1"/>
  <c r="G591" i="1"/>
  <c r="A874" i="8"/>
  <c r="A868" i="7"/>
  <c r="CS725" i="1"/>
  <c r="R725" i="1" s="1"/>
  <c r="GK725" i="1" s="1"/>
  <c r="CZ722" i="1"/>
  <c r="Y722" i="1" s="1"/>
  <c r="CS722" i="1"/>
  <c r="U854" i="8"/>
  <c r="U848" i="7"/>
  <c r="P719" i="1"/>
  <c r="L818" i="8"/>
  <c r="K812" i="7"/>
  <c r="Q804" i="8"/>
  <c r="S798" i="7"/>
  <c r="S804" i="8"/>
  <c r="Q798" i="7"/>
  <c r="V703" i="1"/>
  <c r="CT702" i="1"/>
  <c r="S702" i="1" s="1"/>
  <c r="S795" i="8"/>
  <c r="Q795" i="8"/>
  <c r="S789" i="7"/>
  <c r="Q789" i="7"/>
  <c r="W661" i="1"/>
  <c r="L781" i="8"/>
  <c r="K775" i="7"/>
  <c r="AD609" i="1"/>
  <c r="U742" i="8"/>
  <c r="U736" i="7"/>
  <c r="K736" i="8"/>
  <c r="J730" i="7"/>
  <c r="CR604" i="1"/>
  <c r="Q604" i="1" s="1"/>
  <c r="U718" i="8"/>
  <c r="U712" i="7"/>
  <c r="BZ618" i="1"/>
  <c r="U599" i="1"/>
  <c r="L664" i="8"/>
  <c r="K658" i="7"/>
  <c r="L629" i="8"/>
  <c r="K623" i="7"/>
  <c r="CY407" i="1"/>
  <c r="X407" i="1" s="1"/>
  <c r="CZ407" i="1"/>
  <c r="Y407" i="1" s="1"/>
  <c r="AO311" i="1"/>
  <c r="F343" i="1"/>
  <c r="CR331" i="1"/>
  <c r="Q331" i="1" s="1"/>
  <c r="CS331" i="1"/>
  <c r="R331" i="1" s="1"/>
  <c r="GK331" i="1" s="1"/>
  <c r="AD331" i="1"/>
  <c r="AB331" i="1" s="1"/>
  <c r="CY326" i="1"/>
  <c r="X326" i="1" s="1"/>
  <c r="K416" i="8"/>
  <c r="J410" i="7"/>
  <c r="CZ323" i="1"/>
  <c r="Y323" i="1" s="1"/>
  <c r="CY323" i="1"/>
  <c r="X323" i="1" s="1"/>
  <c r="CY314" i="1"/>
  <c r="X314" i="1" s="1"/>
  <c r="CZ314" i="1"/>
  <c r="Y314" i="1" s="1"/>
  <c r="L196" i="8"/>
  <c r="K190" i="7"/>
  <c r="F827" i="8"/>
  <c r="D828" i="8"/>
  <c r="E821" i="7"/>
  <c r="C822" i="7"/>
  <c r="S749" i="8"/>
  <c r="Q749" i="8"/>
  <c r="S743" i="7"/>
  <c r="Q743" i="7"/>
  <c r="K417" i="8"/>
  <c r="J411" i="7"/>
  <c r="GX716" i="1"/>
  <c r="CY722" i="1"/>
  <c r="X722" i="1" s="1"/>
  <c r="U721" i="1"/>
  <c r="S820" i="8"/>
  <c r="Q820" i="8"/>
  <c r="S814" i="7"/>
  <c r="Q814" i="7"/>
  <c r="CS710" i="1"/>
  <c r="U798" i="7"/>
  <c r="U804" i="8"/>
  <c r="AD707" i="1"/>
  <c r="U703" i="1"/>
  <c r="CR702" i="1"/>
  <c r="Q702" i="1" s="1"/>
  <c r="U795" i="8"/>
  <c r="U789" i="7"/>
  <c r="V661" i="1"/>
  <c r="CS658" i="1"/>
  <c r="R658" i="1" s="1"/>
  <c r="GK658" i="1" s="1"/>
  <c r="CT652" i="1"/>
  <c r="S652" i="1" s="1"/>
  <c r="U615" i="1"/>
  <c r="GX613" i="1"/>
  <c r="L756" i="8"/>
  <c r="K750" i="7"/>
  <c r="AB609" i="1"/>
  <c r="CR607" i="1"/>
  <c r="Q607" i="1" s="1"/>
  <c r="CS606" i="1"/>
  <c r="K680" i="8"/>
  <c r="J674" i="7"/>
  <c r="CB469" i="1"/>
  <c r="T461" i="1"/>
  <c r="F533" i="8"/>
  <c r="D534" i="8"/>
  <c r="C528" i="7"/>
  <c r="E527" i="7"/>
  <c r="L511" i="8"/>
  <c r="K505" i="7"/>
  <c r="K499" i="8"/>
  <c r="J493" i="7"/>
  <c r="W410" i="1"/>
  <c r="D486" i="8"/>
  <c r="F485" i="8"/>
  <c r="E479" i="7"/>
  <c r="C480" i="7"/>
  <c r="G311" i="1"/>
  <c r="A465" i="8"/>
  <c r="A459" i="7"/>
  <c r="L374" i="8"/>
  <c r="K368" i="7"/>
  <c r="V624" i="8"/>
  <c r="V618" i="7"/>
  <c r="R517" i="1"/>
  <c r="GK517" i="1" s="1"/>
  <c r="AD466" i="1"/>
  <c r="AB466" i="1" s="1"/>
  <c r="CR466" i="1"/>
  <c r="Q466" i="1" s="1"/>
  <c r="CP466" i="1" s="1"/>
  <c r="O466" i="1" s="1"/>
  <c r="CS466" i="1"/>
  <c r="R466" i="1" s="1"/>
  <c r="GK466" i="1" s="1"/>
  <c r="CY718" i="1"/>
  <c r="X718" i="1" s="1"/>
  <c r="K840" i="8"/>
  <c r="J834" i="7"/>
  <c r="L868" i="8"/>
  <c r="K862" i="7"/>
  <c r="D847" i="8"/>
  <c r="F846" i="8"/>
  <c r="E840" i="7"/>
  <c r="C841" i="7"/>
  <c r="U718" i="1"/>
  <c r="U714" i="1"/>
  <c r="U820" i="8"/>
  <c r="U814" i="7"/>
  <c r="CT711" i="1"/>
  <c r="S812" i="8"/>
  <c r="S806" i="7"/>
  <c r="Q806" i="7"/>
  <c r="Q812" i="8"/>
  <c r="AB709" i="1"/>
  <c r="P707" i="1"/>
  <c r="AD704" i="1"/>
  <c r="AB704" i="1" s="1"/>
  <c r="CB727" i="1"/>
  <c r="GX661" i="1"/>
  <c r="U661" i="1"/>
  <c r="CR658" i="1"/>
  <c r="Q658" i="1" s="1"/>
  <c r="CP658" i="1" s="1"/>
  <c r="O658" i="1" s="1"/>
  <c r="CS656" i="1"/>
  <c r="R656" i="1" s="1"/>
  <c r="GK656" i="1" s="1"/>
  <c r="S773" i="8"/>
  <c r="Q773" i="8"/>
  <c r="S767" i="7"/>
  <c r="Q767" i="7"/>
  <c r="CS652" i="1"/>
  <c r="S610" i="1"/>
  <c r="CR606" i="1"/>
  <c r="Q606" i="1" s="1"/>
  <c r="CP606" i="1" s="1"/>
  <c r="O606" i="1" s="1"/>
  <c r="F734" i="8"/>
  <c r="D735" i="8"/>
  <c r="E728" i="7"/>
  <c r="C729" i="7"/>
  <c r="CT605" i="1"/>
  <c r="S605" i="1" s="1"/>
  <c r="S727" i="8"/>
  <c r="Q727" i="8"/>
  <c r="Q721" i="7"/>
  <c r="S721" i="7"/>
  <c r="S599" i="1"/>
  <c r="L640" i="8"/>
  <c r="K634" i="7"/>
  <c r="CP518" i="1"/>
  <c r="O518" i="1" s="1"/>
  <c r="L622" i="8"/>
  <c r="K616" i="7"/>
  <c r="CP513" i="1"/>
  <c r="O513" i="1" s="1"/>
  <c r="U506" i="1"/>
  <c r="U555" i="8"/>
  <c r="U549" i="7"/>
  <c r="CR464" i="1"/>
  <c r="Q464" i="1" s="1"/>
  <c r="AD464" i="1"/>
  <c r="T422" i="1"/>
  <c r="Q448" i="8"/>
  <c r="S448" i="8"/>
  <c r="S442" i="7"/>
  <c r="Q442" i="7"/>
  <c r="CT334" i="1"/>
  <c r="S334" i="1" s="1"/>
  <c r="S338" i="8"/>
  <c r="Q338" i="8"/>
  <c r="S332" i="7"/>
  <c r="Q332" i="7"/>
  <c r="CT144" i="1"/>
  <c r="S144" i="1" s="1"/>
  <c r="S231" i="8"/>
  <c r="Q231" i="8"/>
  <c r="Q225" i="7"/>
  <c r="S225" i="7"/>
  <c r="F707" i="8"/>
  <c r="E701" i="7"/>
  <c r="C702" i="7"/>
  <c r="D708" i="8"/>
  <c r="V599" i="1"/>
  <c r="CT597" i="1"/>
  <c r="S597" i="1" s="1"/>
  <c r="S676" i="8"/>
  <c r="Q676" i="8"/>
  <c r="S670" i="7"/>
  <c r="Q670" i="7"/>
  <c r="BD529" i="1"/>
  <c r="CS526" i="1"/>
  <c r="CS525" i="1"/>
  <c r="R525" i="1" s="1"/>
  <c r="GK525" i="1" s="1"/>
  <c r="D651" i="8"/>
  <c r="C645" i="7"/>
  <c r="F650" i="8"/>
  <c r="E644" i="7"/>
  <c r="W523" i="1"/>
  <c r="CT522" i="1"/>
  <c r="S522" i="1" s="1"/>
  <c r="Q642" i="8"/>
  <c r="S636" i="7"/>
  <c r="Q636" i="7"/>
  <c r="S642" i="8"/>
  <c r="CS518" i="1"/>
  <c r="R518" i="1" s="1"/>
  <c r="GK518" i="1" s="1"/>
  <c r="U616" i="8"/>
  <c r="U610" i="7"/>
  <c r="L614" i="8"/>
  <c r="K608" i="7"/>
  <c r="D609" i="8"/>
  <c r="F608" i="8"/>
  <c r="E602" i="7"/>
  <c r="C603" i="7"/>
  <c r="U514" i="1"/>
  <c r="CS512" i="1"/>
  <c r="R512" i="1" s="1"/>
  <c r="GK512" i="1" s="1"/>
  <c r="U562" i="8"/>
  <c r="U556" i="7"/>
  <c r="BY469" i="1"/>
  <c r="AP469" i="1" s="1"/>
  <c r="CR423" i="1"/>
  <c r="Q423" i="1" s="1"/>
  <c r="CP423" i="1" s="1"/>
  <c r="O423" i="1" s="1"/>
  <c r="CS422" i="1"/>
  <c r="R422" i="1" s="1"/>
  <c r="GK422" i="1" s="1"/>
  <c r="D522" i="8"/>
  <c r="F521" i="8"/>
  <c r="E515" i="7"/>
  <c r="C516" i="7"/>
  <c r="P412" i="1"/>
  <c r="T337" i="1"/>
  <c r="D457" i="8"/>
  <c r="F456" i="8"/>
  <c r="E450" i="7"/>
  <c r="C451" i="7"/>
  <c r="AD334" i="1"/>
  <c r="U448" i="8"/>
  <c r="U442" i="7"/>
  <c r="S429" i="8"/>
  <c r="Q429" i="8"/>
  <c r="S423" i="7"/>
  <c r="Q423" i="7"/>
  <c r="BY339" i="1"/>
  <c r="T322" i="1"/>
  <c r="T320" i="1"/>
  <c r="CS319" i="1"/>
  <c r="U387" i="8"/>
  <c r="U381" i="7"/>
  <c r="AD318" i="1"/>
  <c r="AB318" i="1" s="1"/>
  <c r="U376" i="8"/>
  <c r="U370" i="7"/>
  <c r="S360" i="8"/>
  <c r="Q360" i="8"/>
  <c r="S354" i="7"/>
  <c r="Q354" i="7"/>
  <c r="CK311" i="1"/>
  <c r="U345" i="8"/>
  <c r="U339" i="7"/>
  <c r="BZ279" i="1"/>
  <c r="U338" i="8"/>
  <c r="U332" i="7"/>
  <c r="Q236" i="1"/>
  <c r="T232" i="1"/>
  <c r="S146" i="1"/>
  <c r="CR144" i="1"/>
  <c r="U231" i="8"/>
  <c r="U225" i="7"/>
  <c r="CS144" i="1"/>
  <c r="L229" i="8"/>
  <c r="K223" i="7"/>
  <c r="CT140" i="1"/>
  <c r="Q212" i="8"/>
  <c r="S212" i="8"/>
  <c r="Q206" i="7"/>
  <c r="S206" i="7"/>
  <c r="L173" i="8"/>
  <c r="K167" i="7"/>
  <c r="K170" i="8"/>
  <c r="J164" i="7"/>
  <c r="K122" i="8"/>
  <c r="J116" i="7"/>
  <c r="L88" i="8"/>
  <c r="K82" i="7"/>
  <c r="CT601" i="1"/>
  <c r="S601" i="1" s="1"/>
  <c r="S696" i="8"/>
  <c r="Q696" i="8"/>
  <c r="S690" i="7"/>
  <c r="Q690" i="7"/>
  <c r="AB599" i="1"/>
  <c r="V686" i="8"/>
  <c r="K693" i="8" s="1"/>
  <c r="V680" i="7"/>
  <c r="J687" i="7" s="1"/>
  <c r="U676" i="8"/>
  <c r="U670" i="7"/>
  <c r="G501" i="1"/>
  <c r="A667" i="8"/>
  <c r="A661" i="7"/>
  <c r="F658" i="8"/>
  <c r="D659" i="8"/>
  <c r="E652" i="7"/>
  <c r="C653" i="7"/>
  <c r="CR525" i="1"/>
  <c r="Q525" i="1" s="1"/>
  <c r="L656" i="8"/>
  <c r="K650" i="7"/>
  <c r="AD522" i="1"/>
  <c r="AB522" i="1" s="1"/>
  <c r="U636" i="7"/>
  <c r="U642" i="8"/>
  <c r="T514" i="1"/>
  <c r="Q506" i="1"/>
  <c r="R467" i="1"/>
  <c r="GK467" i="1" s="1"/>
  <c r="V572" i="8"/>
  <c r="V566" i="7"/>
  <c r="AD465" i="1"/>
  <c r="CQ463" i="1"/>
  <c r="P463" i="1" s="1"/>
  <c r="CT461" i="1"/>
  <c r="S461" i="1" s="1"/>
  <c r="Q544" i="8"/>
  <c r="S544" i="8"/>
  <c r="Q538" i="7"/>
  <c r="S538" i="7"/>
  <c r="Q422" i="1"/>
  <c r="R414" i="1"/>
  <c r="GK414" i="1" s="1"/>
  <c r="V513" i="8"/>
  <c r="V507" i="7"/>
  <c r="R413" i="1"/>
  <c r="GK413" i="1" s="1"/>
  <c r="V506" i="8"/>
  <c r="V500" i="7"/>
  <c r="U412" i="1"/>
  <c r="CJ426" i="1"/>
  <c r="BC405" i="1"/>
  <c r="R337" i="1"/>
  <c r="GK337" i="1" s="1"/>
  <c r="AB334" i="1"/>
  <c r="Q332" i="1"/>
  <c r="CZ331" i="1"/>
  <c r="Y331" i="1" s="1"/>
  <c r="U429" i="8"/>
  <c r="U423" i="7"/>
  <c r="GX328" i="1"/>
  <c r="AD328" i="1"/>
  <c r="D415" i="8"/>
  <c r="F414" i="8"/>
  <c r="E408" i="7"/>
  <c r="C409" i="7"/>
  <c r="U325" i="1"/>
  <c r="F398" i="8"/>
  <c r="C393" i="7"/>
  <c r="D399" i="8"/>
  <c r="E392" i="7"/>
  <c r="CP323" i="1"/>
  <c r="O323" i="1" s="1"/>
  <c r="GM323" i="1" s="1"/>
  <c r="GP323" i="1" s="1"/>
  <c r="GX320" i="1"/>
  <c r="P318" i="1"/>
  <c r="CZ317" i="1"/>
  <c r="Y317" i="1" s="1"/>
  <c r="U360" i="8"/>
  <c r="U354" i="7"/>
  <c r="BX311" i="1"/>
  <c r="AD276" i="1"/>
  <c r="CP234" i="1"/>
  <c r="O234" i="1" s="1"/>
  <c r="W232" i="1"/>
  <c r="S230" i="1"/>
  <c r="K260" i="8"/>
  <c r="J254" i="7"/>
  <c r="AD144" i="1"/>
  <c r="CR140" i="1"/>
  <c r="U212" i="8"/>
  <c r="U206" i="7"/>
  <c r="CS140" i="1"/>
  <c r="J154" i="7"/>
  <c r="K160" i="8"/>
  <c r="K123" i="8"/>
  <c r="J117" i="7"/>
  <c r="W41" i="1"/>
  <c r="L80" i="8"/>
  <c r="K74" i="7"/>
  <c r="U696" i="8"/>
  <c r="U690" i="7"/>
  <c r="T599" i="1"/>
  <c r="K688" i="8"/>
  <c r="J682" i="7"/>
  <c r="GX523" i="1"/>
  <c r="K611" i="8"/>
  <c r="J605" i="7"/>
  <c r="GX514" i="1"/>
  <c r="CT514" i="1"/>
  <c r="S514" i="1" s="1"/>
  <c r="Q600" i="8"/>
  <c r="S600" i="8"/>
  <c r="S594" i="7"/>
  <c r="Q594" i="7"/>
  <c r="R503" i="1"/>
  <c r="GK503" i="1" s="1"/>
  <c r="V584" i="8"/>
  <c r="V578" i="7"/>
  <c r="W461" i="1"/>
  <c r="AD461" i="1"/>
  <c r="AB461" i="1" s="1"/>
  <c r="U544" i="8"/>
  <c r="U538" i="7"/>
  <c r="V533" i="8"/>
  <c r="K541" i="8" s="1"/>
  <c r="V527" i="7"/>
  <c r="J535" i="7" s="1"/>
  <c r="R460" i="1"/>
  <c r="CC458" i="1"/>
  <c r="D514" i="8"/>
  <c r="F513" i="8"/>
  <c r="E507" i="7"/>
  <c r="C508" i="7"/>
  <c r="D507" i="8"/>
  <c r="F506" i="8"/>
  <c r="E500" i="7"/>
  <c r="C501" i="7"/>
  <c r="S412" i="1"/>
  <c r="CT409" i="1"/>
  <c r="S409" i="1" s="1"/>
  <c r="Q474" i="8"/>
  <c r="S474" i="8"/>
  <c r="S468" i="7"/>
  <c r="Q468" i="7"/>
  <c r="AD330" i="1"/>
  <c r="CS322" i="1"/>
  <c r="R322" i="1" s="1"/>
  <c r="GK322" i="1" s="1"/>
  <c r="CZ274" i="1"/>
  <c r="Y274" i="1" s="1"/>
  <c r="AD274" i="1"/>
  <c r="AB274" i="1" s="1"/>
  <c r="W273" i="1"/>
  <c r="D328" i="8"/>
  <c r="C322" i="7"/>
  <c r="F327" i="8"/>
  <c r="E321" i="7"/>
  <c r="AH279" i="1"/>
  <c r="L325" i="8"/>
  <c r="K319" i="7"/>
  <c r="K273" i="8"/>
  <c r="J267" i="7"/>
  <c r="K225" i="8"/>
  <c r="J219" i="7"/>
  <c r="AD140" i="1"/>
  <c r="AD138" i="1"/>
  <c r="AB138" i="1" s="1"/>
  <c r="CR138" i="1"/>
  <c r="Q138" i="1" s="1"/>
  <c r="CS138" i="1"/>
  <c r="R138" i="1" s="1"/>
  <c r="GK138" i="1" s="1"/>
  <c r="V41" i="1"/>
  <c r="AJ618" i="1"/>
  <c r="G401" i="1"/>
  <c r="A670" i="8"/>
  <c r="A664" i="7"/>
  <c r="W526" i="1"/>
  <c r="F631" i="8"/>
  <c r="D632" i="8"/>
  <c r="E625" i="7"/>
  <c r="C626" i="7"/>
  <c r="F616" i="8"/>
  <c r="D617" i="8"/>
  <c r="E610" i="7"/>
  <c r="C611" i="7"/>
  <c r="CS514" i="1"/>
  <c r="U600" i="8"/>
  <c r="U594" i="7"/>
  <c r="T507" i="1"/>
  <c r="V506" i="1"/>
  <c r="K556" i="8"/>
  <c r="J550" i="7"/>
  <c r="V461" i="1"/>
  <c r="Q460" i="1"/>
  <c r="W414" i="1"/>
  <c r="R412" i="1"/>
  <c r="V496" i="8"/>
  <c r="K503" i="8" s="1"/>
  <c r="V490" i="7"/>
  <c r="J497" i="7" s="1"/>
  <c r="CC426" i="1"/>
  <c r="AD409" i="1"/>
  <c r="AB409" i="1" s="1"/>
  <c r="U474" i="8"/>
  <c r="U468" i="7"/>
  <c r="V336" i="1"/>
  <c r="W332" i="1"/>
  <c r="T327" i="1"/>
  <c r="S325" i="1"/>
  <c r="CZ324" i="1"/>
  <c r="Y324" i="1" s="1"/>
  <c r="K400" i="8"/>
  <c r="J394" i="7"/>
  <c r="Q322" i="1"/>
  <c r="V321" i="1"/>
  <c r="V319" i="1"/>
  <c r="U318" i="1"/>
  <c r="A356" i="8"/>
  <c r="A350" i="7"/>
  <c r="K337" i="7"/>
  <c r="L343" i="8"/>
  <c r="K298" i="8"/>
  <c r="J292" i="7"/>
  <c r="L287" i="8"/>
  <c r="K281" i="7"/>
  <c r="K185" i="8"/>
  <c r="J179" i="7"/>
  <c r="BC30" i="1"/>
  <c r="F66" i="1"/>
  <c r="CQ46" i="1"/>
  <c r="P46" i="1" s="1"/>
  <c r="AB46" i="1"/>
  <c r="K77" i="8"/>
  <c r="J71" i="7"/>
  <c r="R37" i="1"/>
  <c r="V59" i="7"/>
  <c r="J66" i="7" s="1"/>
  <c r="V65" i="8"/>
  <c r="K72" i="8" s="1"/>
  <c r="D44" i="8"/>
  <c r="F43" i="8"/>
  <c r="C38" i="7"/>
  <c r="E37" i="7"/>
  <c r="D497" i="8"/>
  <c r="F496" i="8"/>
  <c r="C491" i="7"/>
  <c r="E490" i="7"/>
  <c r="V448" i="8"/>
  <c r="V442" i="7"/>
  <c r="F440" i="8"/>
  <c r="D441" i="8"/>
  <c r="C435" i="7"/>
  <c r="E434" i="7"/>
  <c r="K424" i="8"/>
  <c r="J418" i="7"/>
  <c r="F422" i="8"/>
  <c r="D423" i="8"/>
  <c r="E416" i="7"/>
  <c r="C417" i="7"/>
  <c r="GX325" i="1"/>
  <c r="L396" i="8"/>
  <c r="K390" i="7"/>
  <c r="F387" i="8"/>
  <c r="D388" i="8"/>
  <c r="E381" i="7"/>
  <c r="C382" i="7"/>
  <c r="T318" i="1"/>
  <c r="L353" i="8"/>
  <c r="K347" i="7"/>
  <c r="R276" i="1"/>
  <c r="GK276" i="1" s="1"/>
  <c r="V338" i="8"/>
  <c r="V332" i="7"/>
  <c r="K340" i="8"/>
  <c r="J334" i="7"/>
  <c r="CT272" i="1"/>
  <c r="S272" i="1" s="1"/>
  <c r="Q316" i="8"/>
  <c r="S316" i="8"/>
  <c r="S310" i="7"/>
  <c r="Q310" i="7"/>
  <c r="F239" i="8"/>
  <c r="D240" i="8"/>
  <c r="C234" i="7"/>
  <c r="E233" i="7"/>
  <c r="BD92" i="1"/>
  <c r="CM82" i="1"/>
  <c r="F139" i="8"/>
  <c r="E133" i="7"/>
  <c r="CY89" i="1"/>
  <c r="X89" i="1" s="1"/>
  <c r="CZ89" i="1"/>
  <c r="Y89" i="1" s="1"/>
  <c r="L95" i="8"/>
  <c r="K89" i="7"/>
  <c r="L63" i="8"/>
  <c r="K57" i="7"/>
  <c r="U602" i="1"/>
  <c r="F696" i="8"/>
  <c r="D697" i="8"/>
  <c r="E690" i="7"/>
  <c r="C691" i="7"/>
  <c r="Q599" i="1"/>
  <c r="L694" i="8"/>
  <c r="K688" i="7"/>
  <c r="GX526" i="1"/>
  <c r="CS522" i="1"/>
  <c r="D643" i="8"/>
  <c r="F642" i="8"/>
  <c r="E636" i="7"/>
  <c r="C637" i="7"/>
  <c r="F624" i="8"/>
  <c r="D625" i="8"/>
  <c r="E618" i="7"/>
  <c r="C619" i="7"/>
  <c r="U512" i="1"/>
  <c r="R511" i="1"/>
  <c r="GK511" i="1" s="1"/>
  <c r="CY510" i="1"/>
  <c r="X510" i="1" s="1"/>
  <c r="T506" i="1"/>
  <c r="AB424" i="1"/>
  <c r="U521" i="8"/>
  <c r="U515" i="7"/>
  <c r="U414" i="1"/>
  <c r="T410" i="1"/>
  <c r="BZ426" i="1"/>
  <c r="T336" i="1"/>
  <c r="CR334" i="1"/>
  <c r="Q334" i="1" s="1"/>
  <c r="F448" i="8"/>
  <c r="D449" i="8"/>
  <c r="E442" i="7"/>
  <c r="C443" i="7"/>
  <c r="AD329" i="1"/>
  <c r="AB329" i="1" s="1"/>
  <c r="U326" i="1"/>
  <c r="CS318" i="1"/>
  <c r="CT316" i="1"/>
  <c r="S316" i="1" s="1"/>
  <c r="S367" i="8"/>
  <c r="Q367" i="8"/>
  <c r="Q361" i="7"/>
  <c r="S361" i="7"/>
  <c r="AD315" i="1"/>
  <c r="AB315" i="1" s="1"/>
  <c r="CR276" i="1"/>
  <c r="Q276" i="1" s="1"/>
  <c r="V273" i="1"/>
  <c r="U316" i="8"/>
  <c r="U310" i="7"/>
  <c r="G215" i="1"/>
  <c r="A306" i="7"/>
  <c r="A312" i="8"/>
  <c r="AD236" i="1"/>
  <c r="L309" i="8"/>
  <c r="K303" i="7"/>
  <c r="CP228" i="1"/>
  <c r="O228" i="1" s="1"/>
  <c r="G26" i="1"/>
  <c r="A251" i="8"/>
  <c r="A245" i="7"/>
  <c r="U146" i="1"/>
  <c r="CP142" i="1"/>
  <c r="O142" i="1" s="1"/>
  <c r="K226" i="8"/>
  <c r="J220" i="7"/>
  <c r="L165" i="8"/>
  <c r="K159" i="7"/>
  <c r="W126" i="1"/>
  <c r="F151" i="8"/>
  <c r="E145" i="7"/>
  <c r="P126" i="1"/>
  <c r="BC82" i="1"/>
  <c r="F108" i="1"/>
  <c r="CY88" i="1"/>
  <c r="X88" i="1" s="1"/>
  <c r="CZ88" i="1"/>
  <c r="Y88" i="1" s="1"/>
  <c r="GM88" i="1" s="1"/>
  <c r="GP88" i="1" s="1"/>
  <c r="K92" i="8"/>
  <c r="J86" i="7"/>
  <c r="U41" i="1"/>
  <c r="AB417" i="1"/>
  <c r="CT410" i="1"/>
  <c r="S410" i="1" s="1"/>
  <c r="S485" i="8"/>
  <c r="Q485" i="8"/>
  <c r="S479" i="7"/>
  <c r="Q479" i="7"/>
  <c r="CT336" i="1"/>
  <c r="S336" i="1" s="1"/>
  <c r="AF339" i="1" s="1"/>
  <c r="S456" i="8"/>
  <c r="Q456" i="8"/>
  <c r="S450" i="7"/>
  <c r="Q450" i="7"/>
  <c r="K451" i="8"/>
  <c r="J445" i="7"/>
  <c r="F429" i="8"/>
  <c r="D430" i="8"/>
  <c r="E423" i="7"/>
  <c r="C424" i="7"/>
  <c r="U329" i="1"/>
  <c r="D407" i="8"/>
  <c r="F406" i="8"/>
  <c r="E400" i="7"/>
  <c r="C401" i="7"/>
  <c r="L404" i="8"/>
  <c r="K398" i="7"/>
  <c r="K390" i="8"/>
  <c r="J384" i="7"/>
  <c r="K379" i="8"/>
  <c r="J373" i="7"/>
  <c r="F376" i="8"/>
  <c r="D377" i="8"/>
  <c r="E370" i="7"/>
  <c r="C371" i="7"/>
  <c r="AD316" i="1"/>
  <c r="U367" i="8"/>
  <c r="U361" i="7"/>
  <c r="L365" i="8"/>
  <c r="K359" i="7"/>
  <c r="K348" i="8"/>
  <c r="J342" i="7"/>
  <c r="F345" i="8"/>
  <c r="D346" i="8"/>
  <c r="E339" i="7"/>
  <c r="C340" i="7"/>
  <c r="K291" i="8"/>
  <c r="J285" i="7"/>
  <c r="K282" i="8"/>
  <c r="J276" i="7"/>
  <c r="R146" i="1"/>
  <c r="GK146" i="1" s="1"/>
  <c r="V239" i="8"/>
  <c r="V233" i="7"/>
  <c r="L188" i="8"/>
  <c r="K182" i="7"/>
  <c r="L156" i="8"/>
  <c r="K150" i="7"/>
  <c r="L137" i="8"/>
  <c r="K131" i="7"/>
  <c r="K109" i="8"/>
  <c r="J103" i="7"/>
  <c r="CP44" i="1"/>
  <c r="O44" i="1" s="1"/>
  <c r="S707" i="8"/>
  <c r="Q707" i="8"/>
  <c r="S701" i="7"/>
  <c r="Q701" i="7"/>
  <c r="CT598" i="1"/>
  <c r="S598" i="1" s="1"/>
  <c r="CY598" i="1" s="1"/>
  <c r="X598" i="1" s="1"/>
  <c r="S686" i="8"/>
  <c r="Q686" i="8"/>
  <c r="S680" i="7"/>
  <c r="Q680" i="7"/>
  <c r="CT526" i="1"/>
  <c r="S526" i="1" s="1"/>
  <c r="S658" i="8"/>
  <c r="Q658" i="8"/>
  <c r="Q652" i="7"/>
  <c r="S652" i="7"/>
  <c r="CT524" i="1"/>
  <c r="S524" i="1" s="1"/>
  <c r="S650" i="8"/>
  <c r="Q650" i="8"/>
  <c r="Q644" i="7"/>
  <c r="S644" i="7"/>
  <c r="K645" i="8"/>
  <c r="J639" i="7"/>
  <c r="CT515" i="1"/>
  <c r="S515" i="1" s="1"/>
  <c r="S608" i="8"/>
  <c r="Q608" i="8"/>
  <c r="S602" i="7"/>
  <c r="Q602" i="7"/>
  <c r="V507" i="1"/>
  <c r="CS506" i="1"/>
  <c r="U591" i="8"/>
  <c r="U585" i="7"/>
  <c r="L589" i="8"/>
  <c r="K583" i="7"/>
  <c r="CR467" i="1"/>
  <c r="Q467" i="1" s="1"/>
  <c r="U572" i="8"/>
  <c r="U566" i="7"/>
  <c r="Q461" i="1"/>
  <c r="R424" i="1"/>
  <c r="GK424" i="1" s="1"/>
  <c r="S422" i="1"/>
  <c r="CS418" i="1"/>
  <c r="R418" i="1" s="1"/>
  <c r="GK418" i="1" s="1"/>
  <c r="CT414" i="1"/>
  <c r="S414" i="1" s="1"/>
  <c r="S513" i="8"/>
  <c r="Q513" i="8"/>
  <c r="S507" i="7"/>
  <c r="Q507" i="7"/>
  <c r="CT413" i="1"/>
  <c r="S413" i="1" s="1"/>
  <c r="S506" i="8"/>
  <c r="Q506" i="8"/>
  <c r="S500" i="7"/>
  <c r="Q500" i="7"/>
  <c r="U485" i="8"/>
  <c r="U479" i="7"/>
  <c r="CS409" i="1"/>
  <c r="CR408" i="1"/>
  <c r="Q408" i="1" s="1"/>
  <c r="CP408" i="1" s="1"/>
  <c r="O408" i="1" s="1"/>
  <c r="GM408" i="1" s="1"/>
  <c r="GP408" i="1" s="1"/>
  <c r="U456" i="8"/>
  <c r="U450" i="7"/>
  <c r="S440" i="8"/>
  <c r="Q440" i="8"/>
  <c r="S434" i="7"/>
  <c r="Q434" i="7"/>
  <c r="CT330" i="1"/>
  <c r="S330" i="1" s="1"/>
  <c r="T329" i="1"/>
  <c r="W328" i="1"/>
  <c r="S414" i="8"/>
  <c r="Q414" i="8"/>
  <c r="S408" i="7"/>
  <c r="Q408" i="7"/>
  <c r="CT313" i="1"/>
  <c r="S313" i="1" s="1"/>
  <c r="AB236" i="1"/>
  <c r="R234" i="1"/>
  <c r="GK234" i="1" s="1"/>
  <c r="AD232" i="1"/>
  <c r="AB232" i="1" s="1"/>
  <c r="K270" i="8"/>
  <c r="J264" i="7"/>
  <c r="CZ218" i="1"/>
  <c r="Y218" i="1" s="1"/>
  <c r="CY218" i="1"/>
  <c r="X218" i="1" s="1"/>
  <c r="Q146" i="1"/>
  <c r="V223" i="8"/>
  <c r="V217" i="7"/>
  <c r="R142" i="1"/>
  <c r="GK142" i="1" s="1"/>
  <c r="F223" i="8"/>
  <c r="D224" i="8"/>
  <c r="E217" i="7"/>
  <c r="C218" i="7"/>
  <c r="P90" i="1"/>
  <c r="AB44" i="1"/>
  <c r="W34" i="1"/>
  <c r="AD602" i="1"/>
  <c r="U707" i="8"/>
  <c r="U701" i="7"/>
  <c r="T600" i="1"/>
  <c r="AD598" i="1"/>
  <c r="AB598" i="1" s="1"/>
  <c r="U686" i="8"/>
  <c r="U680" i="7"/>
  <c r="AD526" i="1"/>
  <c r="AB526" i="1" s="1"/>
  <c r="U658" i="8"/>
  <c r="U652" i="7"/>
  <c r="U650" i="8"/>
  <c r="U644" i="7"/>
  <c r="U608" i="8"/>
  <c r="U602" i="7"/>
  <c r="Q514" i="1"/>
  <c r="W511" i="1"/>
  <c r="R510" i="1"/>
  <c r="GK510" i="1" s="1"/>
  <c r="CP504" i="1"/>
  <c r="O504" i="1" s="1"/>
  <c r="L560" i="8"/>
  <c r="K554" i="7"/>
  <c r="GX461" i="1"/>
  <c r="P461" i="1"/>
  <c r="GX460" i="1"/>
  <c r="T460" i="1"/>
  <c r="Q424" i="1"/>
  <c r="CR414" i="1"/>
  <c r="Q414" i="1" s="1"/>
  <c r="CP414" i="1" s="1"/>
  <c r="O414" i="1" s="1"/>
  <c r="U513" i="8"/>
  <c r="U507" i="7"/>
  <c r="U506" i="8"/>
  <c r="U500" i="7"/>
  <c r="T412" i="1"/>
  <c r="CR409" i="1"/>
  <c r="Q409" i="1" s="1"/>
  <c r="F474" i="8"/>
  <c r="D475" i="8"/>
  <c r="C469" i="7"/>
  <c r="E468" i="7"/>
  <c r="G211" i="1"/>
  <c r="A468" i="8"/>
  <c r="A462" i="7"/>
  <c r="S337" i="1"/>
  <c r="AD336" i="1"/>
  <c r="CS332" i="1"/>
  <c r="U440" i="8"/>
  <c r="U434" i="7"/>
  <c r="GX327" i="1"/>
  <c r="U414" i="8"/>
  <c r="U408" i="7"/>
  <c r="S398" i="8"/>
  <c r="Q398" i="8"/>
  <c r="S392" i="7"/>
  <c r="Q392" i="7"/>
  <c r="GX319" i="1"/>
  <c r="GX277" i="1"/>
  <c r="CT273" i="1"/>
  <c r="S273" i="1" s="1"/>
  <c r="Q327" i="8"/>
  <c r="S327" i="8"/>
  <c r="Q321" i="7"/>
  <c r="S321" i="7"/>
  <c r="G270" i="1"/>
  <c r="AD234" i="1"/>
  <c r="AB234" i="1" s="1"/>
  <c r="U230" i="1"/>
  <c r="U304" i="8"/>
  <c r="U298" i="7"/>
  <c r="F296" i="8"/>
  <c r="D297" i="8"/>
  <c r="C291" i="7"/>
  <c r="E290" i="7"/>
  <c r="P226" i="1"/>
  <c r="W146" i="1"/>
  <c r="Q142" i="1"/>
  <c r="AD139" i="1"/>
  <c r="AB139" i="1" s="1"/>
  <c r="CR139" i="1"/>
  <c r="CS139" i="1"/>
  <c r="R139" i="1" s="1"/>
  <c r="GK139" i="1" s="1"/>
  <c r="F205" i="8"/>
  <c r="D206" i="8"/>
  <c r="C200" i="7"/>
  <c r="E199" i="7"/>
  <c r="K161" i="8"/>
  <c r="J155" i="7"/>
  <c r="W90" i="1"/>
  <c r="GX41" i="1"/>
  <c r="V34" i="1"/>
  <c r="AI50" i="1" s="1"/>
  <c r="AI30" i="1" s="1"/>
  <c r="K653" i="8"/>
  <c r="J647" i="7"/>
  <c r="U523" i="1"/>
  <c r="CT517" i="1"/>
  <c r="S517" i="1" s="1"/>
  <c r="Q624" i="8"/>
  <c r="S624" i="8"/>
  <c r="Q618" i="7"/>
  <c r="S618" i="7"/>
  <c r="AB512" i="1"/>
  <c r="CT503" i="1"/>
  <c r="S503" i="1" s="1"/>
  <c r="S584" i="8"/>
  <c r="Q584" i="8"/>
  <c r="S578" i="7"/>
  <c r="Q578" i="7"/>
  <c r="AO469" i="1"/>
  <c r="K574" i="8"/>
  <c r="J568" i="7"/>
  <c r="S533" i="8"/>
  <c r="Q533" i="8"/>
  <c r="S527" i="7"/>
  <c r="Q527" i="7"/>
  <c r="GX424" i="1"/>
  <c r="CQ424" i="1"/>
  <c r="P424" i="1" s="1"/>
  <c r="CP424" i="1" s="1"/>
  <c r="O424" i="1" s="1"/>
  <c r="GM424" i="1" s="1"/>
  <c r="GP424" i="1" s="1"/>
  <c r="AD413" i="1"/>
  <c r="S496" i="8"/>
  <c r="Q496" i="8"/>
  <c r="Q490" i="7"/>
  <c r="S490" i="7"/>
  <c r="L454" i="8"/>
  <c r="K448" i="7"/>
  <c r="T331" i="1"/>
  <c r="CS329" i="1"/>
  <c r="R329" i="1" s="1"/>
  <c r="GK329" i="1" s="1"/>
  <c r="AD326" i="1"/>
  <c r="AB326" i="1" s="1"/>
  <c r="U398" i="8"/>
  <c r="U392" i="7"/>
  <c r="GX273" i="1"/>
  <c r="U327" i="8"/>
  <c r="U321" i="7"/>
  <c r="CS236" i="1"/>
  <c r="R236" i="1" s="1"/>
  <c r="GK236" i="1" s="1"/>
  <c r="U235" i="1"/>
  <c r="CY217" i="1"/>
  <c r="X217" i="1" s="1"/>
  <c r="CZ217" i="1"/>
  <c r="Y217" i="1" s="1"/>
  <c r="V146" i="1"/>
  <c r="K200" i="8"/>
  <c r="J194" i="7"/>
  <c r="CY131" i="1"/>
  <c r="X131" i="1" s="1"/>
  <c r="V90" i="1"/>
  <c r="AI92" i="1" s="1"/>
  <c r="K121" i="8"/>
  <c r="J115" i="7"/>
  <c r="V75" i="8"/>
  <c r="V69" i="7"/>
  <c r="R38" i="1"/>
  <c r="GK38" i="1" s="1"/>
  <c r="U34" i="1"/>
  <c r="R598" i="1"/>
  <c r="K678" i="7"/>
  <c r="L684" i="8"/>
  <c r="T523" i="1"/>
  <c r="CT520" i="1"/>
  <c r="S520" i="1" s="1"/>
  <c r="S631" i="8"/>
  <c r="Q631" i="8"/>
  <c r="S625" i="7"/>
  <c r="Q625" i="7"/>
  <c r="U624" i="8"/>
  <c r="U618" i="7"/>
  <c r="BY529" i="1"/>
  <c r="W514" i="1"/>
  <c r="AD503" i="1"/>
  <c r="AB503" i="1" s="1"/>
  <c r="U584" i="8"/>
  <c r="U578" i="7"/>
  <c r="G458" i="1"/>
  <c r="A580" i="8"/>
  <c r="A574" i="7"/>
  <c r="Q555" i="8"/>
  <c r="S555" i="8"/>
  <c r="S549" i="7"/>
  <c r="Q549" i="7"/>
  <c r="AD460" i="1"/>
  <c r="U533" i="8"/>
  <c r="U527" i="7"/>
  <c r="W424" i="1"/>
  <c r="CS420" i="1"/>
  <c r="R420" i="1" s="1"/>
  <c r="GK420" i="1" s="1"/>
  <c r="CS417" i="1"/>
  <c r="U496" i="8"/>
  <c r="U490" i="7"/>
  <c r="BY426" i="1"/>
  <c r="AP426" i="1" s="1"/>
  <c r="U332" i="1"/>
  <c r="T328" i="1"/>
  <c r="S422" i="8"/>
  <c r="Q422" i="8"/>
  <c r="Q416" i="7"/>
  <c r="S416" i="7"/>
  <c r="Q406" i="8"/>
  <c r="S406" i="8"/>
  <c r="S400" i="7"/>
  <c r="Q400" i="7"/>
  <c r="P322" i="1"/>
  <c r="V320" i="1"/>
  <c r="T319" i="1"/>
  <c r="F367" i="8"/>
  <c r="D368" i="8"/>
  <c r="E361" i="7"/>
  <c r="C362" i="7"/>
  <c r="CR315" i="1"/>
  <c r="Q315" i="1" s="1"/>
  <c r="GX272" i="1"/>
  <c r="F316" i="8"/>
  <c r="D317" i="8"/>
  <c r="E310" i="7"/>
  <c r="C311" i="7"/>
  <c r="L266" i="8"/>
  <c r="K260" i="7"/>
  <c r="R217" i="1"/>
  <c r="GK217" i="1" s="1"/>
  <c r="BZ149" i="1"/>
  <c r="BZ50" i="1"/>
  <c r="CT229" i="1"/>
  <c r="S229" i="1" s="1"/>
  <c r="Q304" i="8"/>
  <c r="S298" i="7"/>
  <c r="Q298" i="7"/>
  <c r="S304" i="8"/>
  <c r="W225" i="1"/>
  <c r="F289" i="8"/>
  <c r="D290" i="8"/>
  <c r="C284" i="7"/>
  <c r="E283" i="7"/>
  <c r="D258" i="8"/>
  <c r="E251" i="7"/>
  <c r="F257" i="8"/>
  <c r="C252" i="7"/>
  <c r="G124" i="1"/>
  <c r="A248" i="8"/>
  <c r="A242" i="7"/>
  <c r="F190" i="8"/>
  <c r="D191" i="8"/>
  <c r="C185" i="7"/>
  <c r="E184" i="7"/>
  <c r="U175" i="8"/>
  <c r="U169" i="7"/>
  <c r="V132" i="1"/>
  <c r="P130" i="1"/>
  <c r="CR89" i="1"/>
  <c r="Q89" i="1" s="1"/>
  <c r="CP89" i="1" s="1"/>
  <c r="O89" i="1" s="1"/>
  <c r="GM89" i="1" s="1"/>
  <c r="GP89" i="1" s="1"/>
  <c r="AB87" i="1"/>
  <c r="BD50" i="1"/>
  <c r="BD179" i="1" s="1"/>
  <c r="BD26" i="1" s="1"/>
  <c r="CR46" i="1"/>
  <c r="Q46" i="1" s="1"/>
  <c r="CP46" i="1" s="1"/>
  <c r="O46" i="1" s="1"/>
  <c r="U101" i="7"/>
  <c r="U107" i="8"/>
  <c r="U97" i="8"/>
  <c r="U91" i="7"/>
  <c r="K68" i="8"/>
  <c r="J62" i="7"/>
  <c r="F65" i="8"/>
  <c r="D66" i="8"/>
  <c r="E59" i="7"/>
  <c r="C60" i="7"/>
  <c r="L203" i="8"/>
  <c r="K197" i="7"/>
  <c r="F175" i="8"/>
  <c r="E169" i="7"/>
  <c r="V167" i="8"/>
  <c r="V161" i="7"/>
  <c r="R129" i="1"/>
  <c r="GK129" i="1" s="1"/>
  <c r="V158" i="8"/>
  <c r="V152" i="7"/>
  <c r="D159" i="8"/>
  <c r="F158" i="8"/>
  <c r="E152" i="7"/>
  <c r="C153" i="7"/>
  <c r="Q126" i="1"/>
  <c r="F119" i="8"/>
  <c r="E113" i="7"/>
  <c r="L112" i="8"/>
  <c r="K106" i="7"/>
  <c r="V90" i="8"/>
  <c r="V84" i="7"/>
  <c r="V82" i="8"/>
  <c r="V76" i="7"/>
  <c r="D83" i="8"/>
  <c r="F82" i="8"/>
  <c r="E76" i="7"/>
  <c r="C77" i="7"/>
  <c r="F75" i="8"/>
  <c r="D76" i="8"/>
  <c r="E69" i="7"/>
  <c r="C70" i="7"/>
  <c r="T34" i="1"/>
  <c r="F304" i="8"/>
  <c r="E298" i="7"/>
  <c r="C299" i="7"/>
  <c r="D305" i="8"/>
  <c r="T226" i="1"/>
  <c r="T224" i="1"/>
  <c r="L277" i="8"/>
  <c r="K271" i="7"/>
  <c r="W217" i="1"/>
  <c r="S145" i="1"/>
  <c r="W142" i="1"/>
  <c r="U141" i="1"/>
  <c r="T138" i="1"/>
  <c r="GX132" i="1"/>
  <c r="D168" i="8"/>
  <c r="F167" i="8"/>
  <c r="E161" i="7"/>
  <c r="C162" i="7"/>
  <c r="CR130" i="1"/>
  <c r="Q130" i="1" s="1"/>
  <c r="U128" i="1"/>
  <c r="T127" i="1"/>
  <c r="GX90" i="1"/>
  <c r="U90" i="1"/>
  <c r="CP88" i="1"/>
  <c r="O88" i="1" s="1"/>
  <c r="Q129" i="8"/>
  <c r="S129" i="8"/>
  <c r="Q123" i="7"/>
  <c r="S123" i="7"/>
  <c r="A115" i="8"/>
  <c r="A109" i="7"/>
  <c r="AD48" i="1"/>
  <c r="D98" i="8"/>
  <c r="F97" i="8"/>
  <c r="E91" i="7"/>
  <c r="C92" i="7"/>
  <c r="V38" i="1"/>
  <c r="GX36" i="1"/>
  <c r="V36" i="1"/>
  <c r="CT35" i="1"/>
  <c r="S35" i="1" s="1"/>
  <c r="CZ35" i="1" s="1"/>
  <c r="Y35" i="1" s="1"/>
  <c r="S54" i="8"/>
  <c r="Q54" i="8"/>
  <c r="S48" i="7"/>
  <c r="Q48" i="7"/>
  <c r="S43" i="8"/>
  <c r="Q43" i="8"/>
  <c r="S37" i="7"/>
  <c r="Q37" i="7"/>
  <c r="S296" i="8"/>
  <c r="Q296" i="8"/>
  <c r="S290" i="7"/>
  <c r="Q290" i="7"/>
  <c r="S279" i="8"/>
  <c r="Q279" i="8"/>
  <c r="S273" i="7"/>
  <c r="Q273" i="7"/>
  <c r="CB238" i="1"/>
  <c r="Q257" i="8"/>
  <c r="S257" i="8"/>
  <c r="Q251" i="7"/>
  <c r="S251" i="7"/>
  <c r="V217" i="1"/>
  <c r="V142" i="1"/>
  <c r="W137" i="1"/>
  <c r="CT136" i="1"/>
  <c r="S136" i="1" s="1"/>
  <c r="S198" i="8"/>
  <c r="Q198" i="8"/>
  <c r="S192" i="7"/>
  <c r="Q192" i="7"/>
  <c r="S184" i="7"/>
  <c r="S190" i="8"/>
  <c r="Q190" i="8"/>
  <c r="Q184" i="7"/>
  <c r="CB149" i="1"/>
  <c r="T128" i="1"/>
  <c r="U129" i="8"/>
  <c r="U123" i="7"/>
  <c r="CP48" i="1"/>
  <c r="O48" i="1" s="1"/>
  <c r="V107" i="8"/>
  <c r="V101" i="7"/>
  <c r="R46" i="1"/>
  <c r="GK46" i="1" s="1"/>
  <c r="D91" i="8"/>
  <c r="F90" i="8"/>
  <c r="E84" i="7"/>
  <c r="C85" i="7"/>
  <c r="U54" i="8"/>
  <c r="U48" i="7"/>
  <c r="CR34" i="1"/>
  <c r="Q34" i="1" s="1"/>
  <c r="U43" i="8"/>
  <c r="U37" i="7"/>
  <c r="AD32" i="1"/>
  <c r="U296" i="8"/>
  <c r="U290" i="7"/>
  <c r="AD224" i="1"/>
  <c r="U279" i="8"/>
  <c r="U273" i="7"/>
  <c r="S268" i="8"/>
  <c r="Q268" i="8"/>
  <c r="Q262" i="7"/>
  <c r="S262" i="7"/>
  <c r="U257" i="8"/>
  <c r="U251" i="7"/>
  <c r="GX217" i="1"/>
  <c r="U217" i="1"/>
  <c r="GX142" i="1"/>
  <c r="S141" i="1"/>
  <c r="GX140" i="1"/>
  <c r="D213" i="8"/>
  <c r="F212" i="8"/>
  <c r="E206" i="7"/>
  <c r="C207" i="7"/>
  <c r="U198" i="8"/>
  <c r="U192" i="7"/>
  <c r="R190" i="8"/>
  <c r="K194" i="8" s="1"/>
  <c r="R184" i="7"/>
  <c r="J188" i="7" s="1"/>
  <c r="AD135" i="1"/>
  <c r="U190" i="8"/>
  <c r="U184" i="7"/>
  <c r="CT134" i="1"/>
  <c r="S134" i="1" s="1"/>
  <c r="Q182" i="8"/>
  <c r="S182" i="8"/>
  <c r="S176" i="7"/>
  <c r="Q176" i="7"/>
  <c r="V129" i="1"/>
  <c r="GX126" i="1"/>
  <c r="Q139" i="8"/>
  <c r="S139" i="8"/>
  <c r="S133" i="7"/>
  <c r="Q133" i="7"/>
  <c r="Q119" i="8"/>
  <c r="S119" i="8"/>
  <c r="S113" i="7"/>
  <c r="Q113" i="7"/>
  <c r="AB48" i="1"/>
  <c r="R45" i="1"/>
  <c r="V97" i="8"/>
  <c r="K104" i="8" s="1"/>
  <c r="V91" i="7"/>
  <c r="J98" i="7" s="1"/>
  <c r="T41" i="1"/>
  <c r="T38" i="1"/>
  <c r="U37" i="1"/>
  <c r="T36" i="1"/>
  <c r="AD34" i="1"/>
  <c r="AB34" i="1" s="1"/>
  <c r="S289" i="8"/>
  <c r="Q289" i="8"/>
  <c r="S283" i="7"/>
  <c r="Q283" i="7"/>
  <c r="U268" i="8"/>
  <c r="U262" i="7"/>
  <c r="AD219" i="1"/>
  <c r="Q239" i="8"/>
  <c r="S239" i="8"/>
  <c r="S233" i="7"/>
  <c r="Q233" i="7"/>
  <c r="D232" i="8"/>
  <c r="F231" i="8"/>
  <c r="E225" i="7"/>
  <c r="C226" i="7"/>
  <c r="U137" i="1"/>
  <c r="AD134" i="1"/>
  <c r="AB134" i="1" s="1"/>
  <c r="U182" i="8"/>
  <c r="U176" i="7"/>
  <c r="U130" i="1"/>
  <c r="T126" i="1"/>
  <c r="AD90" i="1"/>
  <c r="U139" i="8"/>
  <c r="U133" i="7"/>
  <c r="BY92" i="1"/>
  <c r="AD84" i="1"/>
  <c r="AB84" i="1" s="1"/>
  <c r="U119" i="8"/>
  <c r="U113" i="7"/>
  <c r="V47" i="1"/>
  <c r="F107" i="8"/>
  <c r="D108" i="8"/>
  <c r="E101" i="7"/>
  <c r="C102" i="7"/>
  <c r="V44" i="1"/>
  <c r="S41" i="1"/>
  <c r="T40" i="1"/>
  <c r="S75" i="8"/>
  <c r="Q75" i="8"/>
  <c r="S69" i="7"/>
  <c r="Q69" i="7"/>
  <c r="T37" i="1"/>
  <c r="AB32" i="1"/>
  <c r="CS225" i="1"/>
  <c r="U289" i="8"/>
  <c r="U283" i="7"/>
  <c r="K262" i="8"/>
  <c r="J256" i="7"/>
  <c r="AD146" i="1"/>
  <c r="AB146" i="1" s="1"/>
  <c r="U239" i="8"/>
  <c r="U233" i="7"/>
  <c r="Q223" i="8"/>
  <c r="S223" i="8"/>
  <c r="S217" i="7"/>
  <c r="Q217" i="7"/>
  <c r="GX139" i="1"/>
  <c r="CQ139" i="1"/>
  <c r="P139" i="1" s="1"/>
  <c r="V133" i="1"/>
  <c r="CT132" i="1"/>
  <c r="Q167" i="8"/>
  <c r="S167" i="8"/>
  <c r="S161" i="7"/>
  <c r="Q161" i="7"/>
  <c r="GX130" i="1"/>
  <c r="T130" i="1"/>
  <c r="Q151" i="8"/>
  <c r="S145" i="7"/>
  <c r="Q145" i="7"/>
  <c r="S151" i="8"/>
  <c r="AB85" i="1"/>
  <c r="U84" i="1"/>
  <c r="CS48" i="1"/>
  <c r="R48" i="1" s="1"/>
  <c r="GK48" i="1" s="1"/>
  <c r="S82" i="8"/>
  <c r="S76" i="7"/>
  <c r="Q76" i="7"/>
  <c r="Q82" i="8"/>
  <c r="CR38" i="1"/>
  <c r="Q38" i="1" s="1"/>
  <c r="CP38" i="1" s="1"/>
  <c r="O38" i="1" s="1"/>
  <c r="U75" i="8"/>
  <c r="U69" i="7"/>
  <c r="CT37" i="1"/>
  <c r="S37" i="1" s="1"/>
  <c r="S65" i="8"/>
  <c r="Q65" i="8"/>
  <c r="S59" i="7"/>
  <c r="Q59" i="7"/>
  <c r="AB226" i="1"/>
  <c r="AD225" i="1"/>
  <c r="P146" i="1"/>
  <c r="AD142" i="1"/>
  <c r="U223" i="8"/>
  <c r="U217" i="7"/>
  <c r="GX138" i="1"/>
  <c r="CT137" i="1"/>
  <c r="S137" i="1" s="1"/>
  <c r="S205" i="8"/>
  <c r="Q205" i="8"/>
  <c r="S199" i="7"/>
  <c r="Q199" i="7"/>
  <c r="U133" i="1"/>
  <c r="CR132" i="1"/>
  <c r="Q132" i="1" s="1"/>
  <c r="U167" i="8"/>
  <c r="U161" i="7"/>
  <c r="S130" i="1"/>
  <c r="S158" i="8"/>
  <c r="Q158" i="8"/>
  <c r="Q152" i="7"/>
  <c r="S152" i="7"/>
  <c r="CS126" i="1"/>
  <c r="U151" i="8"/>
  <c r="U145" i="7"/>
  <c r="CT85" i="1"/>
  <c r="CG50" i="1"/>
  <c r="GX45" i="1"/>
  <c r="U45" i="1"/>
  <c r="T44" i="1"/>
  <c r="S90" i="8"/>
  <c r="Q90" i="8"/>
  <c r="S84" i="7"/>
  <c r="Q84" i="7"/>
  <c r="P41" i="1"/>
  <c r="AD39" i="1"/>
  <c r="AB39" i="1" s="1"/>
  <c r="U82" i="8"/>
  <c r="U76" i="7"/>
  <c r="AD38" i="1"/>
  <c r="AB38" i="1" s="1"/>
  <c r="AD37" i="1"/>
  <c r="U59" i="7"/>
  <c r="U65" i="8"/>
  <c r="CT34" i="1"/>
  <c r="S34" i="1" s="1"/>
  <c r="R228" i="1"/>
  <c r="GK228" i="1" s="1"/>
  <c r="CT224" i="1"/>
  <c r="S224" i="1" s="1"/>
  <c r="CT219" i="1"/>
  <c r="S219" i="1" s="1"/>
  <c r="R145" i="1"/>
  <c r="GK145" i="1" s="1"/>
  <c r="AB142" i="1"/>
  <c r="U205" i="8"/>
  <c r="U199" i="7"/>
  <c r="F198" i="8"/>
  <c r="E192" i="7"/>
  <c r="CZ135" i="1"/>
  <c r="Y135" i="1" s="1"/>
  <c r="K192" i="8"/>
  <c r="J186" i="7"/>
  <c r="T134" i="1"/>
  <c r="U158" i="8"/>
  <c r="U152" i="7"/>
  <c r="CT90" i="1"/>
  <c r="S90" i="1" s="1"/>
  <c r="V129" i="8"/>
  <c r="K136" i="8" s="1"/>
  <c r="V123" i="7"/>
  <c r="J130" i="7" s="1"/>
  <c r="S84" i="1"/>
  <c r="T46" i="1"/>
  <c r="T45" i="1"/>
  <c r="CR42" i="1"/>
  <c r="Q42" i="1" s="1"/>
  <c r="CP42" i="1" s="1"/>
  <c r="O42" i="1" s="1"/>
  <c r="U90" i="8"/>
  <c r="U84" i="7"/>
  <c r="P37" i="1"/>
  <c r="CS34" i="1"/>
  <c r="BX30" i="1"/>
  <c r="G30" i="1"/>
  <c r="R224" i="1"/>
  <c r="V279" i="8"/>
  <c r="K286" i="8" s="1"/>
  <c r="V273" i="7"/>
  <c r="J280" i="7" s="1"/>
  <c r="F279" i="8"/>
  <c r="D280" i="8"/>
  <c r="E273" i="7"/>
  <c r="C274" i="7"/>
  <c r="BY238" i="1"/>
  <c r="F268" i="8"/>
  <c r="D269" i="8"/>
  <c r="C263" i="7"/>
  <c r="E262" i="7"/>
  <c r="CS219" i="1"/>
  <c r="BD149" i="1"/>
  <c r="T142" i="1"/>
  <c r="R135" i="1"/>
  <c r="GK135" i="1" s="1"/>
  <c r="V190" i="8"/>
  <c r="V184" i="7"/>
  <c r="R134" i="1"/>
  <c r="GK134" i="1" s="1"/>
  <c r="V182" i="8"/>
  <c r="V176" i="7"/>
  <c r="D183" i="8"/>
  <c r="E176" i="7"/>
  <c r="F182" i="8"/>
  <c r="C177" i="7"/>
  <c r="CT133" i="1"/>
  <c r="S175" i="8"/>
  <c r="Q175" i="8"/>
  <c r="S169" i="7"/>
  <c r="Q169" i="7"/>
  <c r="G82" i="1"/>
  <c r="A147" i="8"/>
  <c r="A141" i="7"/>
  <c r="CS90" i="1"/>
  <c r="V85" i="1"/>
  <c r="F129" i="8"/>
  <c r="E123" i="7"/>
  <c r="V119" i="8"/>
  <c r="K126" i="8" s="1"/>
  <c r="V113" i="7"/>
  <c r="J120" i="7" s="1"/>
  <c r="Q107" i="8"/>
  <c r="S107" i="8"/>
  <c r="S101" i="7"/>
  <c r="Q101" i="7"/>
  <c r="CT45" i="1"/>
  <c r="S45" i="1" s="1"/>
  <c r="Q97" i="8"/>
  <c r="S97" i="8"/>
  <c r="S91" i="7"/>
  <c r="Q91" i="7"/>
  <c r="AD42" i="1"/>
  <c r="AB42" i="1" s="1"/>
  <c r="F54" i="8"/>
  <c r="D55" i="8"/>
  <c r="E48" i="7"/>
  <c r="C49" i="7"/>
  <c r="P34" i="1"/>
  <c r="AJ650" i="1"/>
  <c r="W665" i="1"/>
  <c r="CP713" i="1"/>
  <c r="O713" i="1" s="1"/>
  <c r="AO650" i="1"/>
  <c r="F669" i="1"/>
  <c r="AJ595" i="1"/>
  <c r="W618" i="1"/>
  <c r="CP710" i="1"/>
  <c r="O710" i="1" s="1"/>
  <c r="CP721" i="1"/>
  <c r="O721" i="1" s="1"/>
  <c r="GM721" i="1" s="1"/>
  <c r="GP721" i="1" s="1"/>
  <c r="CY716" i="1"/>
  <c r="X716" i="1" s="1"/>
  <c r="CZ716" i="1"/>
  <c r="Y716" i="1" s="1"/>
  <c r="CZ721" i="1"/>
  <c r="Y721" i="1" s="1"/>
  <c r="CY721" i="1"/>
  <c r="X721" i="1" s="1"/>
  <c r="CI727" i="1"/>
  <c r="BY697" i="1"/>
  <c r="AP727" i="1"/>
  <c r="CY708" i="1"/>
  <c r="X708" i="1" s="1"/>
  <c r="CZ708" i="1"/>
  <c r="Y708" i="1" s="1"/>
  <c r="CY724" i="1"/>
  <c r="X724" i="1" s="1"/>
  <c r="CZ724" i="1"/>
  <c r="Y724" i="1" s="1"/>
  <c r="BZ595" i="1"/>
  <c r="AQ618" i="1"/>
  <c r="CY712" i="1"/>
  <c r="X712" i="1" s="1"/>
  <c r="CZ712" i="1"/>
  <c r="Y712" i="1" s="1"/>
  <c r="BC697" i="1"/>
  <c r="F743" i="1"/>
  <c r="BC757" i="1"/>
  <c r="CZ717" i="1"/>
  <c r="Y717" i="1" s="1"/>
  <c r="CY717" i="1"/>
  <c r="X717" i="1" s="1"/>
  <c r="CP717" i="1"/>
  <c r="O717" i="1" s="1"/>
  <c r="BZ697" i="1"/>
  <c r="AQ727" i="1"/>
  <c r="CG727" i="1"/>
  <c r="CB697" i="1"/>
  <c r="AS727" i="1"/>
  <c r="CZ725" i="1"/>
  <c r="Y725" i="1" s="1"/>
  <c r="CY725" i="1"/>
  <c r="X725" i="1" s="1"/>
  <c r="CJ595" i="1"/>
  <c r="BA618" i="1"/>
  <c r="CP725" i="1"/>
  <c r="O725" i="1" s="1"/>
  <c r="CY652" i="1"/>
  <c r="X652" i="1" s="1"/>
  <c r="AF665" i="1"/>
  <c r="CZ652" i="1"/>
  <c r="Y652" i="1" s="1"/>
  <c r="CR610" i="1"/>
  <c r="Q610" i="1" s="1"/>
  <c r="CP610" i="1" s="1"/>
  <c r="O610" i="1" s="1"/>
  <c r="CS610" i="1"/>
  <c r="R610" i="1" s="1"/>
  <c r="GK610" i="1" s="1"/>
  <c r="AD610" i="1"/>
  <c r="AB610" i="1" s="1"/>
  <c r="CQ611" i="1"/>
  <c r="P611" i="1" s="1"/>
  <c r="CP611" i="1" s="1"/>
  <c r="O611" i="1" s="1"/>
  <c r="AD722" i="1"/>
  <c r="AB722" i="1" s="1"/>
  <c r="BD501" i="1"/>
  <c r="F554" i="1"/>
  <c r="CY524" i="1"/>
  <c r="X524" i="1" s="1"/>
  <c r="CZ524" i="1"/>
  <c r="Y524" i="1" s="1"/>
  <c r="CY515" i="1"/>
  <c r="X515" i="1" s="1"/>
  <c r="CZ515" i="1"/>
  <c r="Y515" i="1" s="1"/>
  <c r="CR711" i="1"/>
  <c r="Q711" i="1" s="1"/>
  <c r="CS711" i="1"/>
  <c r="AD711" i="1"/>
  <c r="CP661" i="1"/>
  <c r="O661" i="1" s="1"/>
  <c r="CY467" i="1"/>
  <c r="X467" i="1" s="1"/>
  <c r="CZ467" i="1"/>
  <c r="Y467" i="1" s="1"/>
  <c r="GX712" i="1"/>
  <c r="AB711" i="1"/>
  <c r="U710" i="1"/>
  <c r="AB721" i="1"/>
  <c r="T718" i="1"/>
  <c r="P716" i="1"/>
  <c r="V710" i="1"/>
  <c r="CR708" i="1"/>
  <c r="Q708" i="1" s="1"/>
  <c r="AD708" i="1"/>
  <c r="AB708" i="1" s="1"/>
  <c r="CY703" i="1"/>
  <c r="X703" i="1" s="1"/>
  <c r="CZ703" i="1"/>
  <c r="Y703" i="1" s="1"/>
  <c r="CJ650" i="1"/>
  <c r="BA665" i="1"/>
  <c r="U665" i="1"/>
  <c r="AD616" i="1"/>
  <c r="CR616" i="1"/>
  <c r="Q616" i="1" s="1"/>
  <c r="CP616" i="1" s="1"/>
  <c r="O616" i="1" s="1"/>
  <c r="CS616" i="1"/>
  <c r="R616" i="1" s="1"/>
  <c r="GK616" i="1" s="1"/>
  <c r="CY600" i="1"/>
  <c r="X600" i="1" s="1"/>
  <c r="CZ600" i="1"/>
  <c r="Y600" i="1" s="1"/>
  <c r="AH529" i="1"/>
  <c r="CP715" i="1"/>
  <c r="O715" i="1" s="1"/>
  <c r="CR662" i="1"/>
  <c r="Q662" i="1" s="1"/>
  <c r="CP662" i="1" s="1"/>
  <c r="O662" i="1" s="1"/>
  <c r="AD662" i="1"/>
  <c r="CS662" i="1"/>
  <c r="R662" i="1" s="1"/>
  <c r="GK662" i="1" s="1"/>
  <c r="GX714" i="1"/>
  <c r="CR723" i="1"/>
  <c r="Q723" i="1" s="1"/>
  <c r="CS723" i="1"/>
  <c r="R723" i="1" s="1"/>
  <c r="GK723" i="1" s="1"/>
  <c r="AD723" i="1"/>
  <c r="AB723" i="1" s="1"/>
  <c r="CS712" i="1"/>
  <c r="R712" i="1" s="1"/>
  <c r="GK712" i="1" s="1"/>
  <c r="AD712" i="1"/>
  <c r="AB712" i="1" s="1"/>
  <c r="CQ708" i="1"/>
  <c r="P708" i="1" s="1"/>
  <c r="CP708" i="1" s="1"/>
  <c r="O708" i="1" s="1"/>
  <c r="GM708" i="1" s="1"/>
  <c r="GP708" i="1" s="1"/>
  <c r="CY702" i="1"/>
  <c r="X702" i="1" s="1"/>
  <c r="CZ702" i="1"/>
  <c r="Y702" i="1" s="1"/>
  <c r="CY701" i="1"/>
  <c r="X701" i="1" s="1"/>
  <c r="CZ701" i="1"/>
  <c r="Y701" i="1" s="1"/>
  <c r="CG665" i="1"/>
  <c r="CY601" i="1"/>
  <c r="X601" i="1" s="1"/>
  <c r="CZ601" i="1"/>
  <c r="Y601" i="1" s="1"/>
  <c r="CY527" i="1"/>
  <c r="X527" i="1" s="1"/>
  <c r="CZ527" i="1"/>
  <c r="Y527" i="1" s="1"/>
  <c r="CY313" i="1"/>
  <c r="X313" i="1" s="1"/>
  <c r="CZ313" i="1"/>
  <c r="Y313" i="1" s="1"/>
  <c r="CY90" i="1"/>
  <c r="X90" i="1" s="1"/>
  <c r="CZ90" i="1"/>
  <c r="Y90" i="1" s="1"/>
  <c r="CZ719" i="1"/>
  <c r="Y719" i="1" s="1"/>
  <c r="CP709" i="1"/>
  <c r="O709" i="1" s="1"/>
  <c r="CR705" i="1"/>
  <c r="Q705" i="1" s="1"/>
  <c r="CP705" i="1" s="1"/>
  <c r="O705" i="1" s="1"/>
  <c r="AD705" i="1"/>
  <c r="AB705" i="1" s="1"/>
  <c r="CP652" i="1"/>
  <c r="O652" i="1" s="1"/>
  <c r="BD595" i="1"/>
  <c r="AP618" i="1"/>
  <c r="CI618" i="1"/>
  <c r="BY595" i="1"/>
  <c r="CT276" i="1"/>
  <c r="S276" i="1" s="1"/>
  <c r="AB276" i="1"/>
  <c r="CS724" i="1"/>
  <c r="AD724" i="1"/>
  <c r="AB724" i="1" s="1"/>
  <c r="V716" i="1"/>
  <c r="AD714" i="1"/>
  <c r="S710" i="1"/>
  <c r="S707" i="1"/>
  <c r="AB702" i="1"/>
  <c r="CY699" i="1"/>
  <c r="X699" i="1" s="1"/>
  <c r="CZ699" i="1"/>
  <c r="Y699" i="1" s="1"/>
  <c r="CS657" i="1"/>
  <c r="R657" i="1" s="1"/>
  <c r="GK657" i="1" s="1"/>
  <c r="CR657" i="1"/>
  <c r="Q657" i="1" s="1"/>
  <c r="AD657" i="1"/>
  <c r="AB657" i="1" s="1"/>
  <c r="CY655" i="1"/>
  <c r="X655" i="1" s="1"/>
  <c r="CZ655" i="1"/>
  <c r="Y655" i="1" s="1"/>
  <c r="CP655" i="1"/>
  <c r="O655" i="1" s="1"/>
  <c r="CQ601" i="1"/>
  <c r="P601" i="1" s="1"/>
  <c r="CQ336" i="1"/>
  <c r="P336" i="1" s="1"/>
  <c r="AB336" i="1"/>
  <c r="CR654" i="1"/>
  <c r="Q654" i="1" s="1"/>
  <c r="CS654" i="1"/>
  <c r="R654" i="1" s="1"/>
  <c r="GK654" i="1" s="1"/>
  <c r="AD654" i="1"/>
  <c r="AB654" i="1" s="1"/>
  <c r="CR715" i="1"/>
  <c r="Q715" i="1" s="1"/>
  <c r="CS715" i="1"/>
  <c r="R715" i="1" s="1"/>
  <c r="GK715" i="1" s="1"/>
  <c r="AD715" i="1"/>
  <c r="AB715" i="1" s="1"/>
  <c r="CY713" i="1"/>
  <c r="X713" i="1" s="1"/>
  <c r="CY599" i="1"/>
  <c r="X599" i="1" s="1"/>
  <c r="CZ599" i="1"/>
  <c r="Y599" i="1" s="1"/>
  <c r="AB725" i="1"/>
  <c r="W711" i="1"/>
  <c r="CL697" i="1"/>
  <c r="CR659" i="1"/>
  <c r="Q659" i="1" s="1"/>
  <c r="CS659" i="1"/>
  <c r="R659" i="1" s="1"/>
  <c r="GK659" i="1" s="1"/>
  <c r="AD659" i="1"/>
  <c r="AB659" i="1" s="1"/>
  <c r="F643" i="1"/>
  <c r="CR615" i="1"/>
  <c r="Q615" i="1" s="1"/>
  <c r="CS615" i="1"/>
  <c r="R615" i="1" s="1"/>
  <c r="GK615" i="1" s="1"/>
  <c r="CY611" i="1"/>
  <c r="X611" i="1" s="1"/>
  <c r="CZ611" i="1"/>
  <c r="Y611" i="1" s="1"/>
  <c r="BY501" i="1"/>
  <c r="AP529" i="1"/>
  <c r="CY614" i="1"/>
  <c r="X614" i="1" s="1"/>
  <c r="CZ614" i="1"/>
  <c r="Y614" i="1" s="1"/>
  <c r="CS608" i="1"/>
  <c r="R608" i="1" s="1"/>
  <c r="GK608" i="1" s="1"/>
  <c r="CR608" i="1"/>
  <c r="Q608" i="1" s="1"/>
  <c r="AD608" i="1"/>
  <c r="CP597" i="1"/>
  <c r="O597" i="1" s="1"/>
  <c r="CZ525" i="1"/>
  <c r="Y525" i="1" s="1"/>
  <c r="CY525" i="1"/>
  <c r="X525" i="1" s="1"/>
  <c r="V719" i="1"/>
  <c r="CS716" i="1"/>
  <c r="AD716" i="1"/>
  <c r="GX710" i="1"/>
  <c r="T707" i="1"/>
  <c r="F682" i="1"/>
  <c r="BC650" i="1"/>
  <c r="F681" i="1"/>
  <c r="CP660" i="1"/>
  <c r="O660" i="1" s="1"/>
  <c r="GM660" i="1" s="1"/>
  <c r="GP660" i="1" s="1"/>
  <c r="CQ659" i="1"/>
  <c r="P659" i="1" s="1"/>
  <c r="CP654" i="1"/>
  <c r="O654" i="1" s="1"/>
  <c r="AD615" i="1"/>
  <c r="AB615" i="1" s="1"/>
  <c r="CP607" i="1"/>
  <c r="O607" i="1" s="1"/>
  <c r="BA426" i="1"/>
  <c r="CJ405" i="1"/>
  <c r="CY409" i="1"/>
  <c r="X409" i="1" s="1"/>
  <c r="CZ409" i="1"/>
  <c r="Y409" i="1" s="1"/>
  <c r="AF426" i="1"/>
  <c r="AI650" i="1"/>
  <c r="V665" i="1"/>
  <c r="CZ144" i="1"/>
  <c r="Y144" i="1" s="1"/>
  <c r="CY144" i="1"/>
  <c r="X144" i="1" s="1"/>
  <c r="CY653" i="1"/>
  <c r="X653" i="1" s="1"/>
  <c r="CZ653" i="1"/>
  <c r="Y653" i="1" s="1"/>
  <c r="CZ723" i="1"/>
  <c r="Y723" i="1" s="1"/>
  <c r="AB706" i="1"/>
  <c r="CR663" i="1"/>
  <c r="Q663" i="1" s="1"/>
  <c r="CP663" i="1" s="1"/>
  <c r="O663" i="1" s="1"/>
  <c r="CS663" i="1"/>
  <c r="R663" i="1" s="1"/>
  <c r="GK663" i="1" s="1"/>
  <c r="AD663" i="1"/>
  <c r="AB663" i="1" s="1"/>
  <c r="CY662" i="1"/>
  <c r="X662" i="1" s="1"/>
  <c r="CZ662" i="1"/>
  <c r="Y662" i="1" s="1"/>
  <c r="CQ656" i="1"/>
  <c r="P656" i="1" s="1"/>
  <c r="CP656" i="1" s="1"/>
  <c r="O656" i="1" s="1"/>
  <c r="CP653" i="1"/>
  <c r="O653" i="1" s="1"/>
  <c r="CY612" i="1"/>
  <c r="X612" i="1" s="1"/>
  <c r="CZ612" i="1"/>
  <c r="Y612" i="1" s="1"/>
  <c r="CP609" i="1"/>
  <c r="O609" i="1" s="1"/>
  <c r="AD527" i="1"/>
  <c r="AB527" i="1" s="1"/>
  <c r="CR527" i="1"/>
  <c r="Q527" i="1" s="1"/>
  <c r="CS527" i="1"/>
  <c r="R527" i="1" s="1"/>
  <c r="GK527" i="1" s="1"/>
  <c r="CY519" i="1"/>
  <c r="X519" i="1" s="1"/>
  <c r="CZ519" i="1"/>
  <c r="Y519" i="1" s="1"/>
  <c r="AB714" i="1"/>
  <c r="CY658" i="1"/>
  <c r="X658" i="1" s="1"/>
  <c r="CZ658" i="1"/>
  <c r="Y658" i="1" s="1"/>
  <c r="CY607" i="1"/>
  <c r="X607" i="1" s="1"/>
  <c r="CZ607" i="1"/>
  <c r="Y607" i="1" s="1"/>
  <c r="CR722" i="1"/>
  <c r="Q722" i="1" s="1"/>
  <c r="CP722" i="1" s="1"/>
  <c r="O722" i="1" s="1"/>
  <c r="W720" i="1"/>
  <c r="R718" i="1"/>
  <c r="GK718" i="1" s="1"/>
  <c r="AB716" i="1"/>
  <c r="V714" i="1"/>
  <c r="CQ711" i="1"/>
  <c r="P711" i="1" s="1"/>
  <c r="V720" i="1"/>
  <c r="GX719" i="1"/>
  <c r="AD718" i="1"/>
  <c r="CR712" i="1"/>
  <c r="Q712" i="1" s="1"/>
  <c r="CP712" i="1" s="1"/>
  <c r="O712" i="1" s="1"/>
  <c r="CS708" i="1"/>
  <c r="R708" i="1" s="1"/>
  <c r="GK708" i="1" s="1"/>
  <c r="GX707" i="1"/>
  <c r="CY705" i="1"/>
  <c r="X705" i="1" s="1"/>
  <c r="CY616" i="1"/>
  <c r="X616" i="1" s="1"/>
  <c r="CZ616" i="1"/>
  <c r="Y616" i="1" s="1"/>
  <c r="CB458" i="1"/>
  <c r="AS469" i="1"/>
  <c r="CY416" i="1"/>
  <c r="X416" i="1" s="1"/>
  <c r="CZ416" i="1"/>
  <c r="Y416" i="1" s="1"/>
  <c r="AB700" i="1"/>
  <c r="CQ520" i="1"/>
  <c r="P520" i="1" s="1"/>
  <c r="AT727" i="1"/>
  <c r="CQ723" i="1"/>
  <c r="P723" i="1" s="1"/>
  <c r="CP723" i="1" s="1"/>
  <c r="O723" i="1" s="1"/>
  <c r="GM723" i="1" s="1"/>
  <c r="GP723" i="1" s="1"/>
  <c r="AB718" i="1"/>
  <c r="AD710" i="1"/>
  <c r="AB710" i="1" s="1"/>
  <c r="F675" i="1"/>
  <c r="AQ650" i="1"/>
  <c r="AG665" i="1"/>
  <c r="CQ510" i="1"/>
  <c r="P510" i="1" s="1"/>
  <c r="AB510" i="1"/>
  <c r="CZ506" i="1"/>
  <c r="Y506" i="1" s="1"/>
  <c r="CZ715" i="1"/>
  <c r="Y715" i="1" s="1"/>
  <c r="CR714" i="1"/>
  <c r="Q714" i="1" s="1"/>
  <c r="CP714" i="1" s="1"/>
  <c r="O714" i="1" s="1"/>
  <c r="W712" i="1"/>
  <c r="CQ702" i="1"/>
  <c r="P702" i="1" s="1"/>
  <c r="AB699" i="1"/>
  <c r="CQ699" i="1"/>
  <c r="P699" i="1" s="1"/>
  <c r="CY659" i="1"/>
  <c r="X659" i="1" s="1"/>
  <c r="CZ654" i="1"/>
  <c r="Y654" i="1" s="1"/>
  <c r="BY650" i="1"/>
  <c r="CI665" i="1"/>
  <c r="AP665" i="1"/>
  <c r="CP603" i="1"/>
  <c r="O603" i="1" s="1"/>
  <c r="GM603" i="1" s="1"/>
  <c r="GP603" i="1" s="1"/>
  <c r="CP599" i="1"/>
  <c r="O599" i="1" s="1"/>
  <c r="GM599" i="1" s="1"/>
  <c r="GP599" i="1" s="1"/>
  <c r="CY522" i="1"/>
  <c r="X522" i="1" s="1"/>
  <c r="CZ522" i="1"/>
  <c r="Y522" i="1" s="1"/>
  <c r="CR719" i="1"/>
  <c r="Q719" i="1" s="1"/>
  <c r="CP719" i="1" s="1"/>
  <c r="O719" i="1" s="1"/>
  <c r="CS719" i="1"/>
  <c r="R719" i="1" s="1"/>
  <c r="GK719" i="1" s="1"/>
  <c r="AD719" i="1"/>
  <c r="AB719" i="1" s="1"/>
  <c r="CY709" i="1"/>
  <c r="X709" i="1" s="1"/>
  <c r="CP707" i="1"/>
  <c r="O707" i="1" s="1"/>
  <c r="CZ700" i="1"/>
  <c r="Y700" i="1" s="1"/>
  <c r="CY661" i="1"/>
  <c r="X661" i="1" s="1"/>
  <c r="CZ661" i="1"/>
  <c r="Y661" i="1" s="1"/>
  <c r="CQ605" i="1"/>
  <c r="P605" i="1" s="1"/>
  <c r="CP467" i="1"/>
  <c r="O467" i="1" s="1"/>
  <c r="V723" i="1"/>
  <c r="CS720" i="1"/>
  <c r="AD720" i="1"/>
  <c r="AB720" i="1" s="1"/>
  <c r="V712" i="1"/>
  <c r="GX711" i="1"/>
  <c r="CJ727" i="1" s="1"/>
  <c r="S711" i="1"/>
  <c r="U708" i="1"/>
  <c r="W705" i="1"/>
  <c r="CQ700" i="1"/>
  <c r="P700" i="1" s="1"/>
  <c r="CP700" i="1" s="1"/>
  <c r="O700" i="1" s="1"/>
  <c r="AD660" i="1"/>
  <c r="AB660" i="1" s="1"/>
  <c r="CR660" i="1"/>
  <c r="Q660" i="1" s="1"/>
  <c r="CZ656" i="1"/>
  <c r="Y656" i="1" s="1"/>
  <c r="AD665" i="1"/>
  <c r="T610" i="1"/>
  <c r="CY606" i="1"/>
  <c r="X606" i="1" s="1"/>
  <c r="CZ606" i="1"/>
  <c r="Y606" i="1" s="1"/>
  <c r="AB603" i="1"/>
  <c r="CB618" i="1"/>
  <c r="CY466" i="1"/>
  <c r="X466" i="1" s="1"/>
  <c r="CZ466" i="1"/>
  <c r="Y466" i="1" s="1"/>
  <c r="CQ615" i="1"/>
  <c r="P615" i="1" s="1"/>
  <c r="CY602" i="1"/>
  <c r="X602" i="1" s="1"/>
  <c r="CZ602" i="1"/>
  <c r="Y602" i="1" s="1"/>
  <c r="CR601" i="1"/>
  <c r="Q601" i="1" s="1"/>
  <c r="AD601" i="1"/>
  <c r="AB601" i="1" s="1"/>
  <c r="CP527" i="1"/>
  <c r="O527" i="1" s="1"/>
  <c r="GM527" i="1" s="1"/>
  <c r="GP527" i="1" s="1"/>
  <c r="CR520" i="1"/>
  <c r="Q520" i="1" s="1"/>
  <c r="CS520" i="1"/>
  <c r="AD520" i="1"/>
  <c r="AB520" i="1" s="1"/>
  <c r="CC529" i="1"/>
  <c r="GX610" i="1"/>
  <c r="U605" i="1"/>
  <c r="CY526" i="1"/>
  <c r="X526" i="1" s="1"/>
  <c r="CZ526" i="1"/>
  <c r="Y526" i="1" s="1"/>
  <c r="CR524" i="1"/>
  <c r="Q524" i="1" s="1"/>
  <c r="CS524" i="1"/>
  <c r="AD524" i="1"/>
  <c r="AB524" i="1" s="1"/>
  <c r="CP511" i="1"/>
  <c r="O511" i="1" s="1"/>
  <c r="AG529" i="1"/>
  <c r="Q416" i="1"/>
  <c r="T416" i="1"/>
  <c r="CQ413" i="1"/>
  <c r="P413" i="1" s="1"/>
  <c r="CP413" i="1" s="1"/>
  <c r="O413" i="1" s="1"/>
  <c r="AB413" i="1"/>
  <c r="CG426" i="1"/>
  <c r="BZ405" i="1"/>
  <c r="AQ426" i="1"/>
  <c r="CI426" i="1"/>
  <c r="AB707" i="1"/>
  <c r="AD702" i="1"/>
  <c r="AD700" i="1"/>
  <c r="AB658" i="1"/>
  <c r="AD656" i="1"/>
  <c r="AB656" i="1" s="1"/>
  <c r="CG618" i="1"/>
  <c r="AB616" i="1"/>
  <c r="U610" i="1"/>
  <c r="AB608" i="1"/>
  <c r="CQ608" i="1"/>
  <c r="P608" i="1" s="1"/>
  <c r="T605" i="1"/>
  <c r="AG618" i="1" s="1"/>
  <c r="CY604" i="1"/>
  <c r="X604" i="1" s="1"/>
  <c r="CZ604" i="1"/>
  <c r="Y604" i="1" s="1"/>
  <c r="CP523" i="1"/>
  <c r="O523" i="1" s="1"/>
  <c r="CY514" i="1"/>
  <c r="X514" i="1" s="1"/>
  <c r="CZ514" i="1"/>
  <c r="Y514" i="1" s="1"/>
  <c r="CB529" i="1"/>
  <c r="AC469" i="1"/>
  <c r="CZ332" i="1"/>
  <c r="Y332" i="1" s="1"/>
  <c r="CY332" i="1"/>
  <c r="X332" i="1" s="1"/>
  <c r="BD727" i="1"/>
  <c r="BD757" i="1" s="1"/>
  <c r="BC595" i="1"/>
  <c r="F634" i="1"/>
  <c r="AD605" i="1"/>
  <c r="AB605" i="1" s="1"/>
  <c r="CR605" i="1"/>
  <c r="Q605" i="1" s="1"/>
  <c r="CS605" i="1"/>
  <c r="BX501" i="1"/>
  <c r="AO529" i="1"/>
  <c r="CZ521" i="1"/>
  <c r="Y521" i="1" s="1"/>
  <c r="CY521" i="1"/>
  <c r="X521" i="1" s="1"/>
  <c r="BB727" i="1"/>
  <c r="CS707" i="1"/>
  <c r="R707" i="1" s="1"/>
  <c r="GK707" i="1" s="1"/>
  <c r="GX600" i="1"/>
  <c r="CS597" i="1"/>
  <c r="AD597" i="1"/>
  <c r="AB597" i="1" s="1"/>
  <c r="CZ511" i="1"/>
  <c r="Y511" i="1" s="1"/>
  <c r="CY511" i="1"/>
  <c r="X511" i="1" s="1"/>
  <c r="AB509" i="1"/>
  <c r="AD507" i="1"/>
  <c r="AB507" i="1" s="1"/>
  <c r="CR507" i="1"/>
  <c r="Q507" i="1" s="1"/>
  <c r="CP507" i="1" s="1"/>
  <c r="O507" i="1" s="1"/>
  <c r="CS507" i="1"/>
  <c r="R507" i="1" s="1"/>
  <c r="GK507" i="1" s="1"/>
  <c r="CP526" i="1"/>
  <c r="O526" i="1" s="1"/>
  <c r="CY523" i="1"/>
  <c r="X523" i="1" s="1"/>
  <c r="CZ523" i="1"/>
  <c r="Y523" i="1" s="1"/>
  <c r="AD519" i="1"/>
  <c r="AB519" i="1" s="1"/>
  <c r="CR519" i="1"/>
  <c r="Q519" i="1" s="1"/>
  <c r="CP519" i="1" s="1"/>
  <c r="O519" i="1" s="1"/>
  <c r="CS519" i="1"/>
  <c r="R519" i="1" s="1"/>
  <c r="GK519" i="1" s="1"/>
  <c r="CY513" i="1"/>
  <c r="X513" i="1" s="1"/>
  <c r="GM513" i="1" s="1"/>
  <c r="GP513" i="1" s="1"/>
  <c r="CZ513" i="1"/>
  <c r="Y513" i="1" s="1"/>
  <c r="CT460" i="1"/>
  <c r="S460" i="1" s="1"/>
  <c r="AB460" i="1"/>
  <c r="R416" i="1"/>
  <c r="GK416" i="1" s="1"/>
  <c r="CS702" i="1"/>
  <c r="CS700" i="1"/>
  <c r="R700" i="1" s="1"/>
  <c r="GK700" i="1" s="1"/>
  <c r="AB662" i="1"/>
  <c r="CC665" i="1"/>
  <c r="CY613" i="1"/>
  <c r="X613" i="1" s="1"/>
  <c r="CZ613" i="1"/>
  <c r="Y613" i="1" s="1"/>
  <c r="AB612" i="1"/>
  <c r="CP602" i="1"/>
  <c r="O602" i="1" s="1"/>
  <c r="CS601" i="1"/>
  <c r="CQ525" i="1"/>
  <c r="P525" i="1" s="1"/>
  <c r="CP525" i="1" s="1"/>
  <c r="O525" i="1" s="1"/>
  <c r="AB525" i="1"/>
  <c r="CC311" i="1"/>
  <c r="AT339" i="1"/>
  <c r="CQ657" i="1"/>
  <c r="P657" i="1" s="1"/>
  <c r="CB650" i="1"/>
  <c r="AO618" i="1"/>
  <c r="V615" i="1"/>
  <c r="CZ608" i="1"/>
  <c r="Y608" i="1" s="1"/>
  <c r="AB606" i="1"/>
  <c r="AB602" i="1"/>
  <c r="CP522" i="1"/>
  <c r="O522" i="1" s="1"/>
  <c r="CY464" i="1"/>
  <c r="X464" i="1" s="1"/>
  <c r="CZ464" i="1"/>
  <c r="Y464" i="1" s="1"/>
  <c r="AB652" i="1"/>
  <c r="T615" i="1"/>
  <c r="CP613" i="1"/>
  <c r="O613" i="1" s="1"/>
  <c r="W610" i="1"/>
  <c r="V601" i="1"/>
  <c r="AI618" i="1" s="1"/>
  <c r="AB465" i="1"/>
  <c r="CQ465" i="1"/>
  <c r="P465" i="1" s="1"/>
  <c r="CY462" i="1"/>
  <c r="X462" i="1" s="1"/>
  <c r="CZ462" i="1"/>
  <c r="Y462" i="1" s="1"/>
  <c r="BB559" i="1"/>
  <c r="S615" i="1"/>
  <c r="AB613" i="1"/>
  <c r="V608" i="1"/>
  <c r="U601" i="1"/>
  <c r="CQ506" i="1"/>
  <c r="P506" i="1" s="1"/>
  <c r="CZ335" i="1"/>
  <c r="Y335" i="1" s="1"/>
  <c r="CY335" i="1"/>
  <c r="X335" i="1" s="1"/>
  <c r="CP335" i="1"/>
  <c r="O335" i="1" s="1"/>
  <c r="CP334" i="1"/>
  <c r="O334" i="1" s="1"/>
  <c r="CY315" i="1"/>
  <c r="X315" i="1" s="1"/>
  <c r="CZ315" i="1"/>
  <c r="Y315" i="1" s="1"/>
  <c r="CC618" i="1"/>
  <c r="CY512" i="1"/>
  <c r="X512" i="1" s="1"/>
  <c r="CZ512" i="1"/>
  <c r="Y512" i="1" s="1"/>
  <c r="CP512" i="1"/>
  <c r="O512" i="1" s="1"/>
  <c r="CR415" i="1"/>
  <c r="Q415" i="1" s="1"/>
  <c r="CP415" i="1" s="1"/>
  <c r="O415" i="1" s="1"/>
  <c r="GM415" i="1" s="1"/>
  <c r="GP415" i="1" s="1"/>
  <c r="CS415" i="1"/>
  <c r="R415" i="1" s="1"/>
  <c r="GK415" i="1" s="1"/>
  <c r="AD523" i="1"/>
  <c r="AB523" i="1" s="1"/>
  <c r="CR523" i="1"/>
  <c r="Q523" i="1" s="1"/>
  <c r="CQ521" i="1"/>
  <c r="P521" i="1" s="1"/>
  <c r="CP521" i="1" s="1"/>
  <c r="O521" i="1" s="1"/>
  <c r="AB521" i="1"/>
  <c r="BZ529" i="1"/>
  <c r="CG529" i="1" s="1"/>
  <c r="AF529" i="1"/>
  <c r="CZ503" i="1"/>
  <c r="Y503" i="1" s="1"/>
  <c r="AB422" i="1"/>
  <c r="P416" i="1"/>
  <c r="CP416" i="1" s="1"/>
  <c r="O416" i="1" s="1"/>
  <c r="CZ411" i="1"/>
  <c r="Y411" i="1" s="1"/>
  <c r="CY411" i="1"/>
  <c r="X411" i="1" s="1"/>
  <c r="CM311" i="1"/>
  <c r="BD339" i="1"/>
  <c r="CG279" i="1"/>
  <c r="AQ279" i="1"/>
  <c r="BZ270" i="1"/>
  <c r="AF618" i="1"/>
  <c r="CP524" i="1"/>
  <c r="O524" i="1" s="1"/>
  <c r="CY518" i="1"/>
  <c r="X518" i="1" s="1"/>
  <c r="CZ518" i="1"/>
  <c r="Y518" i="1" s="1"/>
  <c r="W508" i="1"/>
  <c r="CY503" i="1"/>
  <c r="X503" i="1" s="1"/>
  <c r="AG469" i="1"/>
  <c r="CZ418" i="1"/>
  <c r="Y418" i="1" s="1"/>
  <c r="CY418" i="1"/>
  <c r="X418" i="1" s="1"/>
  <c r="CY235" i="1"/>
  <c r="X235" i="1" s="1"/>
  <c r="CZ235" i="1"/>
  <c r="Y235" i="1" s="1"/>
  <c r="AD515" i="1"/>
  <c r="AB515" i="1" s="1"/>
  <c r="CR515" i="1"/>
  <c r="Q515" i="1" s="1"/>
  <c r="CP515" i="1" s="1"/>
  <c r="O515" i="1" s="1"/>
  <c r="CS515" i="1"/>
  <c r="U416" i="1"/>
  <c r="P409" i="1"/>
  <c r="CZ597" i="1"/>
  <c r="Y597" i="1" s="1"/>
  <c r="GX508" i="1"/>
  <c r="CP503" i="1"/>
  <c r="O503" i="1" s="1"/>
  <c r="F482" i="1"/>
  <c r="BB458" i="1"/>
  <c r="CP463" i="1"/>
  <c r="O463" i="1" s="1"/>
  <c r="CP461" i="1"/>
  <c r="O461" i="1" s="1"/>
  <c r="GM461" i="1" s="1"/>
  <c r="GP461" i="1" s="1"/>
  <c r="U421" i="1"/>
  <c r="V409" i="1"/>
  <c r="AI426" i="1" s="1"/>
  <c r="CP276" i="1"/>
  <c r="O276" i="1" s="1"/>
  <c r="AD607" i="1"/>
  <c r="AB607" i="1" s="1"/>
  <c r="Q600" i="1"/>
  <c r="CY597" i="1"/>
  <c r="X597" i="1" s="1"/>
  <c r="CR516" i="1"/>
  <c r="Q516" i="1" s="1"/>
  <c r="CS516" i="1"/>
  <c r="W509" i="1"/>
  <c r="Q508" i="1"/>
  <c r="V465" i="1"/>
  <c r="AB462" i="1"/>
  <c r="AJ469" i="1"/>
  <c r="CP422" i="1"/>
  <c r="O422" i="1" s="1"/>
  <c r="CY420" i="1"/>
  <c r="X420" i="1" s="1"/>
  <c r="CZ420" i="1"/>
  <c r="Y420" i="1" s="1"/>
  <c r="BZ124" i="1"/>
  <c r="AQ149" i="1"/>
  <c r="AD604" i="1"/>
  <c r="AB604" i="1" s="1"/>
  <c r="AD600" i="1"/>
  <c r="AB600" i="1" s="1"/>
  <c r="AD516" i="1"/>
  <c r="AB516" i="1" s="1"/>
  <c r="U510" i="1"/>
  <c r="CZ504" i="1"/>
  <c r="Y504" i="1" s="1"/>
  <c r="CY504" i="1"/>
  <c r="X504" i="1" s="1"/>
  <c r="GM504" i="1" s="1"/>
  <c r="GP504" i="1" s="1"/>
  <c r="AI529" i="1"/>
  <c r="CQ464" i="1"/>
  <c r="P464" i="1" s="1"/>
  <c r="AB464" i="1"/>
  <c r="GX416" i="1"/>
  <c r="T409" i="1"/>
  <c r="AG426" i="1" s="1"/>
  <c r="CY327" i="1"/>
  <c r="X327" i="1" s="1"/>
  <c r="CZ327" i="1"/>
  <c r="Y327" i="1" s="1"/>
  <c r="AH270" i="1"/>
  <c r="U279" i="1"/>
  <c r="P614" i="1"/>
  <c r="CP614" i="1" s="1"/>
  <c r="O614" i="1" s="1"/>
  <c r="P600" i="1"/>
  <c r="CP600" i="1" s="1"/>
  <c r="O600" i="1" s="1"/>
  <c r="GM600" i="1" s="1"/>
  <c r="GP600" i="1" s="1"/>
  <c r="CS523" i="1"/>
  <c r="R523" i="1" s="1"/>
  <c r="GK523" i="1" s="1"/>
  <c r="CQ516" i="1"/>
  <c r="P516" i="1" s="1"/>
  <c r="P508" i="1"/>
  <c r="CQ505" i="1"/>
  <c r="P505" i="1" s="1"/>
  <c r="CP505" i="1" s="1"/>
  <c r="O505" i="1" s="1"/>
  <c r="GM505" i="1" s="1"/>
  <c r="GP505" i="1" s="1"/>
  <c r="AB505" i="1"/>
  <c r="BZ469" i="1"/>
  <c r="CP418" i="1"/>
  <c r="O418" i="1" s="1"/>
  <c r="AB614" i="1"/>
  <c r="R611" i="1"/>
  <c r="GK611" i="1" s="1"/>
  <c r="Q510" i="1"/>
  <c r="F478" i="1"/>
  <c r="AP458" i="1"/>
  <c r="AT458" i="1"/>
  <c r="F487" i="1"/>
  <c r="BY458" i="1"/>
  <c r="CQ421" i="1"/>
  <c r="P421" i="1" s="1"/>
  <c r="U419" i="1"/>
  <c r="AD611" i="1"/>
  <c r="AB611" i="1" s="1"/>
  <c r="GX608" i="1"/>
  <c r="GX520" i="1"/>
  <c r="CJ529" i="1" s="1"/>
  <c r="CQ517" i="1"/>
  <c r="P517" i="1" s="1"/>
  <c r="CP517" i="1" s="1"/>
  <c r="O517" i="1" s="1"/>
  <c r="AB517" i="1"/>
  <c r="S509" i="1"/>
  <c r="CP509" i="1" s="1"/>
  <c r="O509" i="1" s="1"/>
  <c r="F473" i="1"/>
  <c r="AO458" i="1"/>
  <c r="GX465" i="1"/>
  <c r="CJ469" i="1" s="1"/>
  <c r="CY463" i="1"/>
  <c r="X463" i="1" s="1"/>
  <c r="CZ463" i="1"/>
  <c r="Y463" i="1" s="1"/>
  <c r="CY461" i="1"/>
  <c r="X461" i="1" s="1"/>
  <c r="CZ461" i="1"/>
  <c r="Y461" i="1" s="1"/>
  <c r="AI469" i="1"/>
  <c r="CP420" i="1"/>
  <c r="O420" i="1" s="1"/>
  <c r="T419" i="1"/>
  <c r="CS313" i="1"/>
  <c r="AD313" i="1"/>
  <c r="AB313" i="1" s="1"/>
  <c r="CR313" i="1"/>
  <c r="Q313" i="1" s="1"/>
  <c r="AB411" i="1"/>
  <c r="CQ411" i="1"/>
  <c r="P411" i="1" s="1"/>
  <c r="CP411" i="1" s="1"/>
  <c r="O411" i="1" s="1"/>
  <c r="AB333" i="1"/>
  <c r="CQ333" i="1"/>
  <c r="P333" i="1" s="1"/>
  <c r="CP332" i="1"/>
  <c r="O332" i="1" s="1"/>
  <c r="CQ329" i="1"/>
  <c r="P329" i="1" s="1"/>
  <c r="CP329" i="1" s="1"/>
  <c r="O329" i="1" s="1"/>
  <c r="GM329" i="1" s="1"/>
  <c r="GP329" i="1" s="1"/>
  <c r="BY311" i="1"/>
  <c r="AP339" i="1"/>
  <c r="U465" i="1"/>
  <c r="W421" i="1"/>
  <c r="P419" i="1"/>
  <c r="W409" i="1"/>
  <c r="CY322" i="1"/>
  <c r="X322" i="1" s="1"/>
  <c r="CP322" i="1"/>
  <c r="O322" i="1" s="1"/>
  <c r="CP84" i="1"/>
  <c r="O84" i="1" s="1"/>
  <c r="CY33" i="1"/>
  <c r="X33" i="1" s="1"/>
  <c r="CZ33" i="1"/>
  <c r="Y33" i="1" s="1"/>
  <c r="S421" i="1"/>
  <c r="CQ407" i="1"/>
  <c r="P407" i="1" s="1"/>
  <c r="CP407" i="1" s="1"/>
  <c r="O407" i="1" s="1"/>
  <c r="GM407" i="1" s="1"/>
  <c r="GP407" i="1" s="1"/>
  <c r="AB407" i="1"/>
  <c r="BY405" i="1"/>
  <c r="BC311" i="1"/>
  <c r="F355" i="1"/>
  <c r="AB325" i="1"/>
  <c r="CQ325" i="1"/>
  <c r="P325" i="1" s="1"/>
  <c r="AP238" i="1"/>
  <c r="BY215" i="1"/>
  <c r="CZ145" i="1"/>
  <c r="Y145" i="1" s="1"/>
  <c r="CY145" i="1"/>
  <c r="X145" i="1" s="1"/>
  <c r="AB513" i="1"/>
  <c r="AD511" i="1"/>
  <c r="AB511" i="1" s="1"/>
  <c r="AB508" i="1"/>
  <c r="AD506" i="1"/>
  <c r="AB506" i="1" s="1"/>
  <c r="AB504" i="1"/>
  <c r="CY410" i="1"/>
  <c r="X410" i="1" s="1"/>
  <c r="U409" i="1"/>
  <c r="CQ330" i="1"/>
  <c r="P330" i="1" s="1"/>
  <c r="AB330" i="1"/>
  <c r="CY328" i="1"/>
  <c r="X328" i="1" s="1"/>
  <c r="CZ328" i="1"/>
  <c r="Y328" i="1" s="1"/>
  <c r="CS326" i="1"/>
  <c r="CR326" i="1"/>
  <c r="Q326" i="1" s="1"/>
  <c r="CP326" i="1" s="1"/>
  <c r="O326" i="1" s="1"/>
  <c r="CY316" i="1"/>
  <c r="X316" i="1" s="1"/>
  <c r="CZ316" i="1"/>
  <c r="Y316" i="1" s="1"/>
  <c r="W506" i="1"/>
  <c r="AJ529" i="1" s="1"/>
  <c r="T421" i="1"/>
  <c r="S419" i="1"/>
  <c r="CP417" i="1"/>
  <c r="O417" i="1" s="1"/>
  <c r="CY414" i="1"/>
  <c r="X414" i="1" s="1"/>
  <c r="CZ414" i="1"/>
  <c r="Y414" i="1" s="1"/>
  <c r="P410" i="1"/>
  <c r="CY277" i="1"/>
  <c r="X277" i="1" s="1"/>
  <c r="CZ277" i="1"/>
  <c r="Y277" i="1" s="1"/>
  <c r="BC529" i="1"/>
  <c r="AD514" i="1"/>
  <c r="AB514" i="1" s="1"/>
  <c r="CS508" i="1"/>
  <c r="R508" i="1" s="1"/>
  <c r="GK508" i="1" s="1"/>
  <c r="AB467" i="1"/>
  <c r="CR419" i="1"/>
  <c r="Q419" i="1" s="1"/>
  <c r="CS419" i="1"/>
  <c r="R419" i="1" s="1"/>
  <c r="GK419" i="1" s="1"/>
  <c r="CZ408" i="1"/>
  <c r="Y408" i="1" s="1"/>
  <c r="CZ319" i="1"/>
  <c r="Y319" i="1" s="1"/>
  <c r="CY319" i="1"/>
  <c r="X319" i="1" s="1"/>
  <c r="GM274" i="1"/>
  <c r="GP274" i="1" s="1"/>
  <c r="CB124" i="1"/>
  <c r="AS149" i="1"/>
  <c r="BB529" i="1"/>
  <c r="CS513" i="1"/>
  <c r="R513" i="1" s="1"/>
  <c r="GK513" i="1" s="1"/>
  <c r="S465" i="1"/>
  <c r="AO426" i="1"/>
  <c r="BX405" i="1"/>
  <c r="GX421" i="1"/>
  <c r="CR421" i="1"/>
  <c r="Q421" i="1" s="1"/>
  <c r="CS421" i="1"/>
  <c r="R421" i="1" s="1"/>
  <c r="GK421" i="1" s="1"/>
  <c r="AB420" i="1"/>
  <c r="AD419" i="1"/>
  <c r="AB419" i="1" s="1"/>
  <c r="V416" i="1"/>
  <c r="AD414" i="1"/>
  <c r="AB414" i="1" s="1"/>
  <c r="AS405" i="1"/>
  <c r="BZ339" i="1"/>
  <c r="CI339" i="1" s="1"/>
  <c r="CS324" i="1"/>
  <c r="CR324" i="1"/>
  <c r="Q324" i="1" s="1"/>
  <c r="Q316" i="1"/>
  <c r="GX316" i="1"/>
  <c r="CZ225" i="1"/>
  <c r="Y225" i="1" s="1"/>
  <c r="CY225" i="1"/>
  <c r="X225" i="1" s="1"/>
  <c r="AF238" i="1"/>
  <c r="AP559" i="1"/>
  <c r="CR465" i="1"/>
  <c r="Q465" i="1" s="1"/>
  <c r="CS465" i="1"/>
  <c r="CY423" i="1"/>
  <c r="X423" i="1" s="1"/>
  <c r="CZ423" i="1"/>
  <c r="Y423" i="1" s="1"/>
  <c r="AD421" i="1"/>
  <c r="AB421" i="1" s="1"/>
  <c r="T407" i="1"/>
  <c r="AD324" i="1"/>
  <c r="CP318" i="1"/>
  <c r="O318" i="1" s="1"/>
  <c r="CY231" i="1"/>
  <c r="X231" i="1" s="1"/>
  <c r="CZ231" i="1"/>
  <c r="Y231" i="1" s="1"/>
  <c r="CR462" i="1"/>
  <c r="Q462" i="1" s="1"/>
  <c r="CP462" i="1" s="1"/>
  <c r="O462" i="1" s="1"/>
  <c r="GM462" i="1" s="1"/>
  <c r="GP462" i="1" s="1"/>
  <c r="CS462" i="1"/>
  <c r="R462" i="1" s="1"/>
  <c r="GK462" i="1" s="1"/>
  <c r="W416" i="1"/>
  <c r="V407" i="1"/>
  <c r="CP331" i="1"/>
  <c r="O331" i="1" s="1"/>
  <c r="CB270" i="1"/>
  <c r="AS279" i="1"/>
  <c r="CC279" i="1"/>
  <c r="AB423" i="1"/>
  <c r="CR410" i="1"/>
  <c r="Q410" i="1" s="1"/>
  <c r="CS410" i="1"/>
  <c r="AD410" i="1"/>
  <c r="AB410" i="1" s="1"/>
  <c r="F352" i="1"/>
  <c r="BB311" i="1"/>
  <c r="CP337" i="1"/>
  <c r="O337" i="1" s="1"/>
  <c r="R334" i="1"/>
  <c r="GK334" i="1" s="1"/>
  <c r="U321" i="1"/>
  <c r="R316" i="1"/>
  <c r="GK316" i="1" s="1"/>
  <c r="AD277" i="1"/>
  <c r="CS277" i="1"/>
  <c r="CZ234" i="1"/>
  <c r="Y234" i="1" s="1"/>
  <c r="CY234" i="1"/>
  <c r="X234" i="1" s="1"/>
  <c r="GM234" i="1" s="1"/>
  <c r="GP234" i="1" s="1"/>
  <c r="CP233" i="1"/>
  <c r="O233" i="1" s="1"/>
  <c r="AB135" i="1"/>
  <c r="CQ135" i="1"/>
  <c r="P135" i="1" s="1"/>
  <c r="AB327" i="1"/>
  <c r="CQ327" i="1"/>
  <c r="P327" i="1" s="1"/>
  <c r="CP327" i="1" s="1"/>
  <c r="O327" i="1" s="1"/>
  <c r="CP315" i="1"/>
  <c r="O315" i="1" s="1"/>
  <c r="AD233" i="1"/>
  <c r="AB233" i="1" s="1"/>
  <c r="CS233" i="1"/>
  <c r="R233" i="1" s="1"/>
  <c r="GK233" i="1" s="1"/>
  <c r="GX144" i="1"/>
  <c r="Q144" i="1"/>
  <c r="CQ40" i="1"/>
  <c r="P40" i="1" s="1"/>
  <c r="CP40" i="1" s="1"/>
  <c r="O40" i="1" s="1"/>
  <c r="AB40" i="1"/>
  <c r="V50" i="1"/>
  <c r="CP34" i="1"/>
  <c r="O34" i="1" s="1"/>
  <c r="CS336" i="1"/>
  <c r="CR336" i="1"/>
  <c r="Q336" i="1" s="1"/>
  <c r="U333" i="1"/>
  <c r="AB328" i="1"/>
  <c r="S321" i="1"/>
  <c r="P317" i="1"/>
  <c r="CR272" i="1"/>
  <c r="Q272" i="1" s="1"/>
  <c r="AD272" i="1"/>
  <c r="CS272" i="1"/>
  <c r="BC215" i="1"/>
  <c r="F254" i="1"/>
  <c r="CP235" i="1"/>
  <c r="O235" i="1" s="1"/>
  <c r="CQ140" i="1"/>
  <c r="P140" i="1" s="1"/>
  <c r="AB140" i="1"/>
  <c r="AD35" i="1"/>
  <c r="AB35" i="1" s="1"/>
  <c r="CS35" i="1"/>
  <c r="CR35" i="1"/>
  <c r="Q35" i="1" s="1"/>
  <c r="CY34" i="1"/>
  <c r="X34" i="1" s="1"/>
  <c r="CZ34" i="1"/>
  <c r="Y34" i="1" s="1"/>
  <c r="CQ320" i="1"/>
  <c r="P320" i="1" s="1"/>
  <c r="AB320" i="1"/>
  <c r="AB272" i="1"/>
  <c r="CQ272" i="1"/>
  <c r="P272" i="1" s="1"/>
  <c r="CS230" i="1"/>
  <c r="R230" i="1" s="1"/>
  <c r="GK230" i="1" s="1"/>
  <c r="AD230" i="1"/>
  <c r="AB230" i="1" s="1"/>
  <c r="U144" i="1"/>
  <c r="CM405" i="1"/>
  <c r="V326" i="1"/>
  <c r="W324" i="1"/>
  <c r="AJ339" i="1" s="1"/>
  <c r="GX321" i="1"/>
  <c r="T321" i="1"/>
  <c r="CQ313" i="1"/>
  <c r="P313" i="1" s="1"/>
  <c r="CQ277" i="1"/>
  <c r="P277" i="1" s="1"/>
  <c r="CP277" i="1" s="1"/>
  <c r="O277" i="1" s="1"/>
  <c r="AB277" i="1"/>
  <c r="CY272" i="1"/>
  <c r="X272" i="1" s="1"/>
  <c r="AF279" i="1"/>
  <c r="CR137" i="1"/>
  <c r="Q137" i="1" s="1"/>
  <c r="CP137" i="1" s="1"/>
  <c r="O137" i="1" s="1"/>
  <c r="AD137" i="1"/>
  <c r="AB137" i="1" s="1"/>
  <c r="CS137" i="1"/>
  <c r="GX333" i="1"/>
  <c r="T317" i="1"/>
  <c r="AP270" i="1"/>
  <c r="F288" i="1"/>
  <c r="CY229" i="1"/>
  <c r="X229" i="1" s="1"/>
  <c r="CZ229" i="1"/>
  <c r="Y229" i="1" s="1"/>
  <c r="AD227" i="1"/>
  <c r="AB227" i="1" s="1"/>
  <c r="CS227" i="1"/>
  <c r="R227" i="1" s="1"/>
  <c r="GK227" i="1" s="1"/>
  <c r="CR227" i="1"/>
  <c r="Q227" i="1" s="1"/>
  <c r="S333" i="1"/>
  <c r="AD321" i="1"/>
  <c r="AB321" i="1" s="1"/>
  <c r="CR321" i="1"/>
  <c r="Q321" i="1" s="1"/>
  <c r="CS321" i="1"/>
  <c r="R321" i="1" s="1"/>
  <c r="GK321" i="1" s="1"/>
  <c r="CL270" i="1"/>
  <c r="BC279" i="1"/>
  <c r="CS229" i="1"/>
  <c r="AD229" i="1"/>
  <c r="AB229" i="1" s="1"/>
  <c r="CR229" i="1"/>
  <c r="Q229" i="1" s="1"/>
  <c r="CR222" i="1"/>
  <c r="Q222" i="1" s="1"/>
  <c r="CP222" i="1" s="1"/>
  <c r="O222" i="1" s="1"/>
  <c r="GM222" i="1" s="1"/>
  <c r="GP222" i="1" s="1"/>
  <c r="CS222" i="1"/>
  <c r="R222" i="1" s="1"/>
  <c r="GK222" i="1" s="1"/>
  <c r="AD222" i="1"/>
  <c r="AB222" i="1" s="1"/>
  <c r="W143" i="1"/>
  <c r="CZ130" i="1"/>
  <c r="Y130" i="1" s="1"/>
  <c r="CY130" i="1"/>
  <c r="X130" i="1" s="1"/>
  <c r="BD469" i="1"/>
  <c r="AD416" i="1"/>
  <c r="AB416" i="1" s="1"/>
  <c r="CR333" i="1"/>
  <c r="Q333" i="1" s="1"/>
  <c r="CS333" i="1"/>
  <c r="R333" i="1" s="1"/>
  <c r="GK333" i="1" s="1"/>
  <c r="CQ328" i="1"/>
  <c r="P328" i="1" s="1"/>
  <c r="CP328" i="1" s="1"/>
  <c r="O328" i="1" s="1"/>
  <c r="P321" i="1"/>
  <c r="CP321" i="1" s="1"/>
  <c r="O321" i="1" s="1"/>
  <c r="S320" i="1"/>
  <c r="AD317" i="1"/>
  <c r="AB317" i="1" s="1"/>
  <c r="CR317" i="1"/>
  <c r="Q317" i="1" s="1"/>
  <c r="CS317" i="1"/>
  <c r="R317" i="1" s="1"/>
  <c r="GK317" i="1" s="1"/>
  <c r="BY270" i="1"/>
  <c r="CI279" i="1"/>
  <c r="CY275" i="1"/>
  <c r="X275" i="1" s="1"/>
  <c r="CZ275" i="1"/>
  <c r="Y275" i="1" s="1"/>
  <c r="AD273" i="1"/>
  <c r="AB273" i="1" s="1"/>
  <c r="CR273" i="1"/>
  <c r="Q273" i="1" s="1"/>
  <c r="CS273" i="1"/>
  <c r="AO270" i="1"/>
  <c r="GX330" i="1"/>
  <c r="U330" i="1"/>
  <c r="V324" i="1"/>
  <c r="CS320" i="1"/>
  <c r="R320" i="1" s="1"/>
  <c r="GK320" i="1" s="1"/>
  <c r="CR275" i="1"/>
  <c r="Q275" i="1" s="1"/>
  <c r="CP275" i="1" s="1"/>
  <c r="O275" i="1" s="1"/>
  <c r="AD275" i="1"/>
  <c r="AB275" i="1" s="1"/>
  <c r="CS275" i="1"/>
  <c r="R275" i="1" s="1"/>
  <c r="GK275" i="1" s="1"/>
  <c r="CZ272" i="1"/>
  <c r="Y272" i="1" s="1"/>
  <c r="CR233" i="1"/>
  <c r="Q233" i="1" s="1"/>
  <c r="AB130" i="1"/>
  <c r="CZ413" i="1"/>
  <c r="Y413" i="1" s="1"/>
  <c r="V328" i="1"/>
  <c r="GX326" i="1"/>
  <c r="T326" i="1"/>
  <c r="T324" i="1"/>
  <c r="V225" i="1"/>
  <c r="AI238" i="1" s="1"/>
  <c r="CP219" i="1"/>
  <c r="O219" i="1" s="1"/>
  <c r="BC149" i="1"/>
  <c r="BC179" i="1" s="1"/>
  <c r="CL124" i="1"/>
  <c r="AD408" i="1"/>
  <c r="AB408" i="1" s="1"/>
  <c r="CR330" i="1"/>
  <c r="Q330" i="1" s="1"/>
  <c r="CS330" i="1"/>
  <c r="U328" i="1"/>
  <c r="GX324" i="1"/>
  <c r="W320" i="1"/>
  <c r="AD314" i="1"/>
  <c r="AB314" i="1" s="1"/>
  <c r="CR314" i="1"/>
  <c r="Q314" i="1" s="1"/>
  <c r="CP314" i="1" s="1"/>
  <c r="O314" i="1" s="1"/>
  <c r="GM314" i="1" s="1"/>
  <c r="GP314" i="1" s="1"/>
  <c r="CS314" i="1"/>
  <c r="R314" i="1" s="1"/>
  <c r="GK314" i="1" s="1"/>
  <c r="CR230" i="1"/>
  <c r="Q230" i="1" s="1"/>
  <c r="AS238" i="1"/>
  <c r="CB215" i="1"/>
  <c r="CQ144" i="1"/>
  <c r="P144" i="1" s="1"/>
  <c r="AB144" i="1"/>
  <c r="BD238" i="1"/>
  <c r="W236" i="1"/>
  <c r="CQ229" i="1"/>
  <c r="P229" i="1" s="1"/>
  <c r="CY226" i="1"/>
  <c r="X226" i="1" s="1"/>
  <c r="CZ226" i="1"/>
  <c r="Y226" i="1" s="1"/>
  <c r="T225" i="1"/>
  <c r="AG238" i="1" s="1"/>
  <c r="AD223" i="1"/>
  <c r="AB223" i="1" s="1"/>
  <c r="CS223" i="1"/>
  <c r="R223" i="1" s="1"/>
  <c r="GK223" i="1" s="1"/>
  <c r="CP218" i="1"/>
  <c r="O218" i="1" s="1"/>
  <c r="GM218" i="1" s="1"/>
  <c r="GP218" i="1" s="1"/>
  <c r="CY134" i="1"/>
  <c r="X134" i="1" s="1"/>
  <c r="CZ134" i="1"/>
  <c r="Y134" i="1" s="1"/>
  <c r="CG149" i="1"/>
  <c r="AO149" i="1"/>
  <c r="T143" i="1"/>
  <c r="AH92" i="1"/>
  <c r="AI279" i="1"/>
  <c r="BX124" i="1"/>
  <c r="CB82" i="1"/>
  <c r="AS92" i="1"/>
  <c r="CY38" i="1"/>
  <c r="X38" i="1" s="1"/>
  <c r="CZ38" i="1"/>
  <c r="Y38" i="1" s="1"/>
  <c r="CZ36" i="1"/>
  <c r="Y36" i="1" s="1"/>
  <c r="CY36" i="1"/>
  <c r="X36" i="1" s="1"/>
  <c r="GX225" i="1"/>
  <c r="CJ238" i="1" s="1"/>
  <c r="AB224" i="1"/>
  <c r="CQ224" i="1"/>
  <c r="P224" i="1" s="1"/>
  <c r="CP224" i="1" s="1"/>
  <c r="O224" i="1" s="1"/>
  <c r="BZ238" i="1"/>
  <c r="CI238" i="1" s="1"/>
  <c r="AB219" i="1"/>
  <c r="W144" i="1"/>
  <c r="T140" i="1"/>
  <c r="AG149" i="1" s="1"/>
  <c r="AB324" i="1"/>
  <c r="AJ238" i="1"/>
  <c r="CQ147" i="1"/>
  <c r="P147" i="1" s="1"/>
  <c r="V144" i="1"/>
  <c r="CR141" i="1"/>
  <c r="Q141" i="1" s="1"/>
  <c r="CP141" i="1" s="1"/>
  <c r="O141" i="1" s="1"/>
  <c r="CS141" i="1"/>
  <c r="R141" i="1" s="1"/>
  <c r="GK141" i="1" s="1"/>
  <c r="AD141" i="1"/>
  <c r="AB141" i="1" s="1"/>
  <c r="CP138" i="1"/>
  <c r="O138" i="1" s="1"/>
  <c r="CY137" i="1"/>
  <c r="X137" i="1" s="1"/>
  <c r="CZ137" i="1"/>
  <c r="Y137" i="1" s="1"/>
  <c r="CR133" i="1"/>
  <c r="Q133" i="1" s="1"/>
  <c r="AD149" i="1" s="1"/>
  <c r="CS133" i="1"/>
  <c r="AD133" i="1"/>
  <c r="AB133" i="1" s="1"/>
  <c r="CQ230" i="1"/>
  <c r="P230" i="1" s="1"/>
  <c r="R225" i="1"/>
  <c r="GK225" i="1" s="1"/>
  <c r="CZ221" i="1"/>
  <c r="Y221" i="1" s="1"/>
  <c r="CY221" i="1"/>
  <c r="X221" i="1" s="1"/>
  <c r="AD220" i="1"/>
  <c r="AB220" i="1" s="1"/>
  <c r="CS220" i="1"/>
  <c r="CR220" i="1"/>
  <c r="Q220" i="1" s="1"/>
  <c r="CP220" i="1" s="1"/>
  <c r="O220" i="1" s="1"/>
  <c r="CY146" i="1"/>
  <c r="X146" i="1" s="1"/>
  <c r="CZ146" i="1"/>
  <c r="Y146" i="1" s="1"/>
  <c r="AD145" i="1"/>
  <c r="AB145" i="1" s="1"/>
  <c r="CR145" i="1"/>
  <c r="Q145" i="1" s="1"/>
  <c r="CP145" i="1" s="1"/>
  <c r="O145" i="1" s="1"/>
  <c r="GM145" i="1" s="1"/>
  <c r="GP145" i="1" s="1"/>
  <c r="S143" i="1"/>
  <c r="V140" i="1"/>
  <c r="CY138" i="1"/>
  <c r="X138" i="1" s="1"/>
  <c r="CZ138" i="1"/>
  <c r="Y138" i="1" s="1"/>
  <c r="V327" i="1"/>
  <c r="T272" i="1"/>
  <c r="AG279" i="1" s="1"/>
  <c r="CY223" i="1"/>
  <c r="X223" i="1" s="1"/>
  <c r="CZ223" i="1"/>
  <c r="Y223" i="1" s="1"/>
  <c r="R144" i="1"/>
  <c r="GK144" i="1" s="1"/>
  <c r="P133" i="1"/>
  <c r="GX133" i="1"/>
  <c r="CR131" i="1"/>
  <c r="Q131" i="1" s="1"/>
  <c r="CP131" i="1" s="1"/>
  <c r="O131" i="1" s="1"/>
  <c r="GM131" i="1" s="1"/>
  <c r="GP131" i="1" s="1"/>
  <c r="CS131" i="1"/>
  <c r="R131" i="1" s="1"/>
  <c r="GK131" i="1" s="1"/>
  <c r="AD131" i="1"/>
  <c r="AB131" i="1" s="1"/>
  <c r="CQ316" i="1"/>
  <c r="P316" i="1" s="1"/>
  <c r="AB316" i="1"/>
  <c r="T315" i="1"/>
  <c r="CJ279" i="1"/>
  <c r="CZ230" i="1"/>
  <c r="Y230" i="1" s="1"/>
  <c r="CY230" i="1"/>
  <c r="X230" i="1" s="1"/>
  <c r="CZ227" i="1"/>
  <c r="Y227" i="1" s="1"/>
  <c r="CP227" i="1"/>
  <c r="O227" i="1" s="1"/>
  <c r="GM227" i="1" s="1"/>
  <c r="GP227" i="1" s="1"/>
  <c r="CQ225" i="1"/>
  <c r="P225" i="1" s="1"/>
  <c r="AB225" i="1"/>
  <c r="CR223" i="1"/>
  <c r="Q223" i="1" s="1"/>
  <c r="CP221" i="1"/>
  <c r="O221" i="1" s="1"/>
  <c r="F204" i="1"/>
  <c r="AB143" i="1"/>
  <c r="CC149" i="1"/>
  <c r="AB337" i="1"/>
  <c r="AD323" i="1"/>
  <c r="AB323" i="1" s="1"/>
  <c r="AD319" i="1"/>
  <c r="AB319" i="1" s="1"/>
  <c r="F292" i="1"/>
  <c r="BB270" i="1"/>
  <c r="CC238" i="1"/>
  <c r="CY220" i="1"/>
  <c r="X220" i="1" s="1"/>
  <c r="CZ220" i="1"/>
  <c r="Y220" i="1" s="1"/>
  <c r="CY147" i="1"/>
  <c r="X147" i="1" s="1"/>
  <c r="CY136" i="1"/>
  <c r="X136" i="1" s="1"/>
  <c r="CZ136" i="1"/>
  <c r="Y136" i="1" s="1"/>
  <c r="CP134" i="1"/>
  <c r="O134" i="1" s="1"/>
  <c r="P319" i="1"/>
  <c r="W272" i="1"/>
  <c r="AJ279" i="1" s="1"/>
  <c r="CY233" i="1"/>
  <c r="X233" i="1" s="1"/>
  <c r="CY228" i="1"/>
  <c r="X228" i="1" s="1"/>
  <c r="CR226" i="1"/>
  <c r="Q226" i="1" s="1"/>
  <c r="CP226" i="1" s="1"/>
  <c r="O226" i="1" s="1"/>
  <c r="CS226" i="1"/>
  <c r="CY224" i="1"/>
  <c r="X224" i="1" s="1"/>
  <c r="CZ224" i="1"/>
  <c r="Y224" i="1" s="1"/>
  <c r="CR217" i="1"/>
  <c r="Q217" i="1" s="1"/>
  <c r="CP217" i="1" s="1"/>
  <c r="O217" i="1" s="1"/>
  <c r="GM217" i="1" s="1"/>
  <c r="GP217" i="1" s="1"/>
  <c r="AD217" i="1"/>
  <c r="AB217" i="1" s="1"/>
  <c r="CR136" i="1"/>
  <c r="Q136" i="1" s="1"/>
  <c r="CP136" i="1" s="1"/>
  <c r="O136" i="1" s="1"/>
  <c r="AD136" i="1"/>
  <c r="AB136" i="1" s="1"/>
  <c r="CS136" i="1"/>
  <c r="CC82" i="1"/>
  <c r="AT92" i="1"/>
  <c r="CZ43" i="1"/>
  <c r="Y43" i="1" s="1"/>
  <c r="R327" i="1"/>
  <c r="GK327" i="1" s="1"/>
  <c r="CQ324" i="1"/>
  <c r="P324" i="1" s="1"/>
  <c r="P236" i="1"/>
  <c r="CP236" i="1" s="1"/>
  <c r="O236" i="1" s="1"/>
  <c r="GX230" i="1"/>
  <c r="U147" i="1"/>
  <c r="U143" i="1"/>
  <c r="S140" i="1"/>
  <c r="BZ82" i="1"/>
  <c r="AQ92" i="1"/>
  <c r="CY87" i="1"/>
  <c r="X87" i="1" s="1"/>
  <c r="CZ87" i="1"/>
  <c r="Y87" i="1" s="1"/>
  <c r="CY86" i="1"/>
  <c r="X86" i="1" s="1"/>
  <c r="CZ86" i="1"/>
  <c r="Y86" i="1" s="1"/>
  <c r="P273" i="1"/>
  <c r="AD231" i="1"/>
  <c r="AB231" i="1" s="1"/>
  <c r="CR231" i="1"/>
  <c r="Q231" i="1" s="1"/>
  <c r="CP231" i="1" s="1"/>
  <c r="O231" i="1" s="1"/>
  <c r="CY219" i="1"/>
  <c r="X219" i="1" s="1"/>
  <c r="V147" i="1"/>
  <c r="S139" i="1"/>
  <c r="CP146" i="1"/>
  <c r="O146" i="1" s="1"/>
  <c r="BY149" i="1"/>
  <c r="CQ129" i="1"/>
  <c r="P129" i="1" s="1"/>
  <c r="AB129" i="1"/>
  <c r="U225" i="1"/>
  <c r="CR147" i="1"/>
  <c r="Q147" i="1" s="1"/>
  <c r="CS147" i="1"/>
  <c r="R147" i="1" s="1"/>
  <c r="GK147" i="1" s="1"/>
  <c r="AD147" i="1"/>
  <c r="AB147" i="1" s="1"/>
  <c r="CY142" i="1"/>
  <c r="X142" i="1" s="1"/>
  <c r="CZ142" i="1"/>
  <c r="Y142" i="1" s="1"/>
  <c r="S133" i="1"/>
  <c r="CP90" i="1"/>
  <c r="O90" i="1" s="1"/>
  <c r="BY82" i="1"/>
  <c r="CI92" i="1"/>
  <c r="AP92" i="1"/>
  <c r="Q225" i="1"/>
  <c r="R140" i="1"/>
  <c r="CZ129" i="1"/>
  <c r="Y129" i="1" s="1"/>
  <c r="CY129" i="1"/>
  <c r="X129" i="1" s="1"/>
  <c r="S127" i="1"/>
  <c r="U236" i="1"/>
  <c r="AB235" i="1"/>
  <c r="S232" i="1"/>
  <c r="CS231" i="1"/>
  <c r="R231" i="1" s="1"/>
  <c r="GK231" i="1" s="1"/>
  <c r="V230" i="1"/>
  <c r="W145" i="1"/>
  <c r="P143" i="1"/>
  <c r="Q140" i="1"/>
  <c r="T133" i="1"/>
  <c r="CQ39" i="1"/>
  <c r="P39" i="1" s="1"/>
  <c r="GX143" i="1"/>
  <c r="U226" i="1"/>
  <c r="CR143" i="1"/>
  <c r="Q143" i="1" s="1"/>
  <c r="CS143" i="1"/>
  <c r="R143" i="1" s="1"/>
  <c r="GK143" i="1" s="1"/>
  <c r="Q139" i="1"/>
  <c r="CP139" i="1" s="1"/>
  <c r="O139" i="1" s="1"/>
  <c r="P128" i="1"/>
  <c r="S128" i="1"/>
  <c r="CR127" i="1"/>
  <c r="Q127" i="1" s="1"/>
  <c r="CS127" i="1"/>
  <c r="R127" i="1" s="1"/>
  <c r="GK127" i="1" s="1"/>
  <c r="AO238" i="1"/>
  <c r="CQ223" i="1"/>
  <c r="P223" i="1" s="1"/>
  <c r="W147" i="1"/>
  <c r="T137" i="1"/>
  <c r="GX127" i="1"/>
  <c r="AB127" i="1"/>
  <c r="CQ127" i="1"/>
  <c r="P127" i="1" s="1"/>
  <c r="W47" i="1"/>
  <c r="BB238" i="1"/>
  <c r="W140" i="1"/>
  <c r="P85" i="1"/>
  <c r="S47" i="1"/>
  <c r="CY35" i="1"/>
  <c r="X35" i="1" s="1"/>
  <c r="GX147" i="1"/>
  <c r="T144" i="1"/>
  <c r="V143" i="1"/>
  <c r="U140" i="1"/>
  <c r="W133" i="1"/>
  <c r="CP130" i="1"/>
  <c r="O130" i="1" s="1"/>
  <c r="V128" i="1"/>
  <c r="W85" i="1"/>
  <c r="AJ92" i="1" s="1"/>
  <c r="CQ35" i="1"/>
  <c r="P35" i="1" s="1"/>
  <c r="AD41" i="1"/>
  <c r="CR41" i="1"/>
  <c r="Q41" i="1" s="1"/>
  <c r="CP41" i="1" s="1"/>
  <c r="O41" i="1" s="1"/>
  <c r="CS41" i="1"/>
  <c r="R41" i="1" s="1"/>
  <c r="GK41" i="1" s="1"/>
  <c r="CQ36" i="1"/>
  <c r="P36" i="1" s="1"/>
  <c r="CP36" i="1" s="1"/>
  <c r="O36" i="1" s="1"/>
  <c r="AB36" i="1"/>
  <c r="AD128" i="1"/>
  <c r="AB128" i="1" s="1"/>
  <c r="CR128" i="1"/>
  <c r="Q128" i="1" s="1"/>
  <c r="S126" i="1"/>
  <c r="CG92" i="1"/>
  <c r="Q47" i="1"/>
  <c r="CY46" i="1"/>
  <c r="X46" i="1" s="1"/>
  <c r="GM46" i="1" s="1"/>
  <c r="GP46" i="1" s="1"/>
  <c r="CZ46" i="1"/>
  <c r="Y46" i="1" s="1"/>
  <c r="BD82" i="1"/>
  <c r="F117" i="1"/>
  <c r="CY84" i="1"/>
  <c r="X84" i="1" s="1"/>
  <c r="AF92" i="1"/>
  <c r="CZ84" i="1"/>
  <c r="Y84" i="1" s="1"/>
  <c r="AG92" i="1"/>
  <c r="BX82" i="1"/>
  <c r="S132" i="1"/>
  <c r="U127" i="1"/>
  <c r="S85" i="1"/>
  <c r="CZ48" i="1"/>
  <c r="Y48" i="1" s="1"/>
  <c r="GM48" i="1" s="1"/>
  <c r="GP48" i="1" s="1"/>
  <c r="CY48" i="1"/>
  <c r="X48" i="1" s="1"/>
  <c r="CY37" i="1"/>
  <c r="X37" i="1" s="1"/>
  <c r="CZ37" i="1"/>
  <c r="Y37" i="1" s="1"/>
  <c r="R85" i="1"/>
  <c r="AD45" i="1"/>
  <c r="CR45" i="1"/>
  <c r="Q45" i="1" s="1"/>
  <c r="W127" i="1"/>
  <c r="AD47" i="1"/>
  <c r="AB47" i="1" s="1"/>
  <c r="CS47" i="1"/>
  <c r="R47" i="1" s="1"/>
  <c r="GK47" i="1" s="1"/>
  <c r="CJ50" i="1"/>
  <c r="W141" i="1"/>
  <c r="AB132" i="1"/>
  <c r="V127" i="1"/>
  <c r="R126" i="1"/>
  <c r="AO92" i="1"/>
  <c r="F54" i="1"/>
  <c r="AO30" i="1"/>
  <c r="AD126" i="1"/>
  <c r="AB126" i="1" s="1"/>
  <c r="GX85" i="1"/>
  <c r="CJ92" i="1"/>
  <c r="CY42" i="1"/>
  <c r="X42" i="1" s="1"/>
  <c r="CZ42" i="1"/>
  <c r="Y42" i="1" s="1"/>
  <c r="CY41" i="1"/>
  <c r="X41" i="1" s="1"/>
  <c r="CZ41" i="1"/>
  <c r="Y41" i="1" s="1"/>
  <c r="R39" i="1"/>
  <c r="GK39" i="1" s="1"/>
  <c r="CC50" i="1"/>
  <c r="W33" i="1"/>
  <c r="AH50" i="1"/>
  <c r="R33" i="1"/>
  <c r="GK33" i="1" s="1"/>
  <c r="F63" i="1"/>
  <c r="BB30" i="1"/>
  <c r="T43" i="1"/>
  <c r="BY50" i="1"/>
  <c r="Q85" i="1"/>
  <c r="R43" i="1"/>
  <c r="GK43" i="1" s="1"/>
  <c r="T39" i="1"/>
  <c r="AG50" i="1" s="1"/>
  <c r="GK84" i="1"/>
  <c r="CZ44" i="1"/>
  <c r="Y44" i="1" s="1"/>
  <c r="CY44" i="1"/>
  <c r="X44" i="1" s="1"/>
  <c r="Q43" i="1"/>
  <c r="S39" i="1"/>
  <c r="T33" i="1"/>
  <c r="CP32" i="1"/>
  <c r="O32" i="1" s="1"/>
  <c r="CZ40" i="1"/>
  <c r="Y40" i="1" s="1"/>
  <c r="CY40" i="1"/>
  <c r="X40" i="1" s="1"/>
  <c r="CR39" i="1"/>
  <c r="Q39" i="1" s="1"/>
  <c r="AB90" i="1"/>
  <c r="P33" i="1"/>
  <c r="CP33" i="1" s="1"/>
  <c r="O33" i="1" s="1"/>
  <c r="GM33" i="1" s="1"/>
  <c r="GP33" i="1" s="1"/>
  <c r="CR86" i="1"/>
  <c r="Q86" i="1" s="1"/>
  <c r="CP86" i="1" s="1"/>
  <c r="O86" i="1" s="1"/>
  <c r="CS86" i="1"/>
  <c r="R86" i="1" s="1"/>
  <c r="GK86" i="1" s="1"/>
  <c r="CQ47" i="1"/>
  <c r="P47" i="1" s="1"/>
  <c r="CB50" i="1"/>
  <c r="BB149" i="1"/>
  <c r="AD89" i="1"/>
  <c r="AB89" i="1" s="1"/>
  <c r="AD86" i="1"/>
  <c r="AB86" i="1" s="1"/>
  <c r="W37" i="1"/>
  <c r="AJ50" i="1" s="1"/>
  <c r="CZ32" i="1"/>
  <c r="Y32" i="1" s="1"/>
  <c r="CY32" i="1"/>
  <c r="X32" i="1" s="1"/>
  <c r="V126" i="1"/>
  <c r="AB43" i="1"/>
  <c r="CQ43" i="1"/>
  <c r="P43" i="1" s="1"/>
  <c r="AB45" i="1"/>
  <c r="AB41" i="1"/>
  <c r="AB37" i="1"/>
  <c r="AB33" i="1"/>
  <c r="T54" i="8" l="1"/>
  <c r="K61" i="8" s="1"/>
  <c r="T48" i="7"/>
  <c r="J55" i="7" s="1"/>
  <c r="R686" i="8"/>
  <c r="K691" i="8" s="1"/>
  <c r="R680" i="7"/>
  <c r="J685" i="7" s="1"/>
  <c r="CE665" i="1"/>
  <c r="AC650" i="1"/>
  <c r="CF665" i="1"/>
  <c r="CH665" i="1"/>
  <c r="P665" i="1"/>
  <c r="P650" i="1" s="1"/>
  <c r="GM515" i="1"/>
  <c r="GP515" i="1" s="1"/>
  <c r="AK238" i="1"/>
  <c r="R257" i="8"/>
  <c r="K263" i="8" s="1"/>
  <c r="R251" i="7"/>
  <c r="J257" i="7" s="1"/>
  <c r="K321" i="8"/>
  <c r="J315" i="7"/>
  <c r="R289" i="8"/>
  <c r="K292" i="8" s="1"/>
  <c r="R283" i="7"/>
  <c r="J286" i="7" s="1"/>
  <c r="R555" i="8"/>
  <c r="K558" i="8" s="1"/>
  <c r="R549" i="7"/>
  <c r="J552" i="7" s="1"/>
  <c r="T231" i="8"/>
  <c r="K236" i="8" s="1"/>
  <c r="T225" i="7"/>
  <c r="J230" i="7" s="1"/>
  <c r="R696" i="8"/>
  <c r="K702" i="8" s="1"/>
  <c r="R690" i="7"/>
  <c r="J696" i="7" s="1"/>
  <c r="AH149" i="1"/>
  <c r="L221" i="8"/>
  <c r="K215" i="7"/>
  <c r="BD30" i="1"/>
  <c r="T107" i="8"/>
  <c r="K111" i="8" s="1"/>
  <c r="T101" i="7"/>
  <c r="J105" i="7" s="1"/>
  <c r="AH238" i="1"/>
  <c r="L302" i="8"/>
  <c r="K296" i="7"/>
  <c r="K176" i="8"/>
  <c r="J170" i="7"/>
  <c r="K214" i="8"/>
  <c r="J208" i="7"/>
  <c r="T198" i="8"/>
  <c r="K202" i="8" s="1"/>
  <c r="T192" i="7"/>
  <c r="J196" i="7" s="1"/>
  <c r="CJ339" i="1"/>
  <c r="R316" i="8"/>
  <c r="K322" i="8" s="1"/>
  <c r="R310" i="7"/>
  <c r="J316" i="7" s="1"/>
  <c r="CP135" i="1"/>
  <c r="O135" i="1" s="1"/>
  <c r="GM135" i="1" s="1"/>
  <c r="GP135" i="1" s="1"/>
  <c r="K193" i="8"/>
  <c r="J197" i="8" s="1"/>
  <c r="J187" i="7"/>
  <c r="K490" i="8"/>
  <c r="J484" i="7"/>
  <c r="R515" i="1"/>
  <c r="GK515" i="1" s="1"/>
  <c r="V608" i="8"/>
  <c r="V602" i="7"/>
  <c r="T555" i="8"/>
  <c r="K559" i="8" s="1"/>
  <c r="T549" i="7"/>
  <c r="J553" i="7" s="1"/>
  <c r="CP615" i="1"/>
  <c r="O615" i="1" s="1"/>
  <c r="T591" i="8"/>
  <c r="K597" i="8" s="1"/>
  <c r="T585" i="7"/>
  <c r="J591" i="7" s="1"/>
  <c r="GM658" i="1"/>
  <c r="GP658" i="1" s="1"/>
  <c r="GM653" i="1"/>
  <c r="GP653" i="1" s="1"/>
  <c r="R231" i="8"/>
  <c r="K235" i="8" s="1"/>
  <c r="R225" i="7"/>
  <c r="J229" i="7" s="1"/>
  <c r="R820" i="8"/>
  <c r="K823" i="8" s="1"/>
  <c r="R814" i="7"/>
  <c r="J817" i="7" s="1"/>
  <c r="T773" i="8"/>
  <c r="K779" i="8" s="1"/>
  <c r="T767" i="7"/>
  <c r="J773" i="7" s="1"/>
  <c r="CZ720" i="1"/>
  <c r="Y720" i="1" s="1"/>
  <c r="T696" i="8"/>
  <c r="K703" i="8" s="1"/>
  <c r="T690" i="7"/>
  <c r="J697" i="7" s="1"/>
  <c r="AH727" i="1"/>
  <c r="L810" i="8"/>
  <c r="K804" i="7"/>
  <c r="R650" i="8"/>
  <c r="K654" i="8" s="1"/>
  <c r="R644" i="7"/>
  <c r="J648" i="7" s="1"/>
  <c r="K48" i="8"/>
  <c r="J42" i="7"/>
  <c r="CP37" i="1"/>
  <c r="O37" i="1" s="1"/>
  <c r="K281" i="8"/>
  <c r="J275" i="7"/>
  <c r="L210" i="8"/>
  <c r="K204" i="7"/>
  <c r="K46" i="8"/>
  <c r="J40" i="7"/>
  <c r="L420" i="8"/>
  <c r="K414" i="7"/>
  <c r="L519" i="8"/>
  <c r="K513" i="7"/>
  <c r="GK412" i="1"/>
  <c r="K500" i="8"/>
  <c r="J494" i="7"/>
  <c r="V212" i="8"/>
  <c r="K220" i="8" s="1"/>
  <c r="V206" i="7"/>
  <c r="J214" i="7" s="1"/>
  <c r="R854" i="8"/>
  <c r="K858" i="8" s="1"/>
  <c r="R848" i="7"/>
  <c r="J852" i="7" s="1"/>
  <c r="CB311" i="1"/>
  <c r="AS339" i="1"/>
  <c r="CY417" i="1"/>
  <c r="X417" i="1" s="1"/>
  <c r="K523" i="8"/>
  <c r="J517" i="7"/>
  <c r="CZ417" i="1"/>
  <c r="Y417" i="1" s="1"/>
  <c r="AO697" i="1"/>
  <c r="F731" i="1"/>
  <c r="V422" i="8"/>
  <c r="V416" i="7"/>
  <c r="K726" i="7"/>
  <c r="L732" i="8"/>
  <c r="R387" i="8"/>
  <c r="K393" i="8" s="1"/>
  <c r="R381" i="7"/>
  <c r="J387" i="7" s="1"/>
  <c r="K535" i="8"/>
  <c r="J529" i="7"/>
  <c r="K687" i="8"/>
  <c r="J681" i="7"/>
  <c r="T398" i="8"/>
  <c r="K403" i="8" s="1"/>
  <c r="T392" i="7"/>
  <c r="J397" i="7" s="1"/>
  <c r="J447" i="8"/>
  <c r="CY720" i="1"/>
  <c r="X720" i="1" s="1"/>
  <c r="K848" i="8"/>
  <c r="J842" i="7"/>
  <c r="K130" i="8"/>
  <c r="J124" i="7"/>
  <c r="K59" i="8"/>
  <c r="J53" i="7"/>
  <c r="K85" i="8"/>
  <c r="J79" i="7"/>
  <c r="R223" i="8"/>
  <c r="K227" i="8" s="1"/>
  <c r="R217" i="7"/>
  <c r="J221" i="7" s="1"/>
  <c r="CP316" i="1"/>
  <c r="O316" i="1" s="1"/>
  <c r="GM316" i="1" s="1"/>
  <c r="GP316" i="1" s="1"/>
  <c r="K371" i="8"/>
  <c r="J365" i="7"/>
  <c r="R330" i="1"/>
  <c r="V429" i="8"/>
  <c r="K437" i="8" s="1"/>
  <c r="V423" i="7"/>
  <c r="J431" i="7" s="1"/>
  <c r="T506" i="8"/>
  <c r="K510" i="8" s="1"/>
  <c r="T500" i="7"/>
  <c r="J504" i="7" s="1"/>
  <c r="R273" i="1"/>
  <c r="V327" i="8"/>
  <c r="K335" i="8" s="1"/>
  <c r="V321" i="7"/>
  <c r="J329" i="7" s="1"/>
  <c r="T304" i="8"/>
  <c r="K308" i="8" s="1"/>
  <c r="T298" i="7"/>
  <c r="J302" i="7" s="1"/>
  <c r="R410" i="1"/>
  <c r="V485" i="8"/>
  <c r="K493" i="8" s="1"/>
  <c r="V479" i="7"/>
  <c r="J487" i="7" s="1"/>
  <c r="T289" i="8"/>
  <c r="K293" i="8" s="1"/>
  <c r="T283" i="7"/>
  <c r="J287" i="7" s="1"/>
  <c r="I289" i="7" s="1"/>
  <c r="T387" i="8"/>
  <c r="K394" i="8" s="1"/>
  <c r="T381" i="7"/>
  <c r="J388" i="7" s="1"/>
  <c r="GM414" i="1"/>
  <c r="GP414" i="1" s="1"/>
  <c r="R513" i="8"/>
  <c r="K517" i="8" s="1"/>
  <c r="R507" i="7"/>
  <c r="J511" i="7" s="1"/>
  <c r="K434" i="8"/>
  <c r="J428" i="7"/>
  <c r="CP325" i="1"/>
  <c r="O325" i="1" s="1"/>
  <c r="K409" i="8"/>
  <c r="J403" i="7"/>
  <c r="T544" i="8"/>
  <c r="K551" i="8" s="1"/>
  <c r="T538" i="7"/>
  <c r="J545" i="7" s="1"/>
  <c r="BB405" i="1"/>
  <c r="R601" i="1"/>
  <c r="V696" i="8"/>
  <c r="K704" i="8" s="1"/>
  <c r="V690" i="7"/>
  <c r="J698" i="7" s="1"/>
  <c r="GM466" i="1"/>
  <c r="GP466" i="1" s="1"/>
  <c r="CP510" i="1"/>
  <c r="O510" i="1" s="1"/>
  <c r="GM510" i="1" s="1"/>
  <c r="GP510" i="1" s="1"/>
  <c r="BB757" i="1"/>
  <c r="F770" i="1" s="1"/>
  <c r="CP659" i="1"/>
  <c r="O659" i="1" s="1"/>
  <c r="R724" i="1"/>
  <c r="GK724" i="1" s="1"/>
  <c r="V862" i="8"/>
  <c r="V856" i="7"/>
  <c r="GM705" i="1"/>
  <c r="GP705" i="1" s="1"/>
  <c r="GM724" i="1"/>
  <c r="GP724" i="1" s="1"/>
  <c r="R862" i="8"/>
  <c r="K866" i="8" s="1"/>
  <c r="R856" i="7"/>
  <c r="J860" i="7" s="1"/>
  <c r="V151" i="8"/>
  <c r="V145" i="7"/>
  <c r="R417" i="1"/>
  <c r="GK417" i="1" s="1"/>
  <c r="GM417" i="1" s="1"/>
  <c r="GP417" i="1" s="1"/>
  <c r="V521" i="8"/>
  <c r="V515" i="7"/>
  <c r="CZ520" i="1"/>
  <c r="Y520" i="1" s="1"/>
  <c r="K633" i="8"/>
  <c r="J627" i="7"/>
  <c r="CY520" i="1"/>
  <c r="X520" i="1" s="1"/>
  <c r="K585" i="8"/>
  <c r="J579" i="7"/>
  <c r="V474" i="8"/>
  <c r="K482" i="8" s="1"/>
  <c r="V468" i="7"/>
  <c r="J476" i="7" s="1"/>
  <c r="R409" i="1"/>
  <c r="K515" i="8"/>
  <c r="J520" i="8" s="1"/>
  <c r="J509" i="7"/>
  <c r="R506" i="1"/>
  <c r="GK506" i="1" s="1"/>
  <c r="V591" i="8"/>
  <c r="V585" i="7"/>
  <c r="L245" i="8"/>
  <c r="K239" i="7"/>
  <c r="GK37" i="1"/>
  <c r="K69" i="8"/>
  <c r="J63" i="7"/>
  <c r="J402" i="7"/>
  <c r="K408" i="8"/>
  <c r="CZ325" i="1"/>
  <c r="Y325" i="1" s="1"/>
  <c r="CY325" i="1"/>
  <c r="X325" i="1" s="1"/>
  <c r="K536" i="8"/>
  <c r="J530" i="7"/>
  <c r="K476" i="8"/>
  <c r="J470" i="7"/>
  <c r="L598" i="8"/>
  <c r="K592" i="7"/>
  <c r="CY605" i="1"/>
  <c r="X605" i="1" s="1"/>
  <c r="K729" i="8"/>
  <c r="J723" i="7"/>
  <c r="CZ605" i="1"/>
  <c r="Y605" i="1" s="1"/>
  <c r="AL618" i="1" s="1"/>
  <c r="CP598" i="1"/>
  <c r="O598" i="1" s="1"/>
  <c r="GM598" i="1" s="1"/>
  <c r="GP598" i="1" s="1"/>
  <c r="GK602" i="1"/>
  <c r="K711" i="8"/>
  <c r="J705" i="7"/>
  <c r="K389" i="8"/>
  <c r="J383" i="7"/>
  <c r="K775" i="8"/>
  <c r="J769" i="7"/>
  <c r="I820" i="7"/>
  <c r="R198" i="8"/>
  <c r="K201" i="8" s="1"/>
  <c r="R192" i="7"/>
  <c r="J195" i="7" s="1"/>
  <c r="R773" i="8"/>
  <c r="K778" i="8" s="1"/>
  <c r="R767" i="7"/>
  <c r="J772" i="7" s="1"/>
  <c r="K776" i="8"/>
  <c r="J770" i="7"/>
  <c r="GK655" i="1"/>
  <c r="R158" i="8"/>
  <c r="K163" i="8" s="1"/>
  <c r="R152" i="7"/>
  <c r="J157" i="7" s="1"/>
  <c r="T279" i="8"/>
  <c r="K285" i="8" s="1"/>
  <c r="T273" i="7"/>
  <c r="J279" i="7" s="1"/>
  <c r="T268" i="8"/>
  <c r="K275" i="8" s="1"/>
  <c r="T262" i="7"/>
  <c r="J269" i="7" s="1"/>
  <c r="CP147" i="1"/>
  <c r="O147" i="1" s="1"/>
  <c r="GM147" i="1" s="1"/>
  <c r="GP147" i="1" s="1"/>
  <c r="T182" i="8"/>
  <c r="K187" i="8" s="1"/>
  <c r="T176" i="7"/>
  <c r="J181" i="7" s="1"/>
  <c r="K432" i="8"/>
  <c r="J426" i="7"/>
  <c r="K330" i="8"/>
  <c r="J324" i="7"/>
  <c r="R229" i="1"/>
  <c r="GK229" i="1" s="1"/>
  <c r="V304" i="8"/>
  <c r="V298" i="7"/>
  <c r="R304" i="8"/>
  <c r="K307" i="8" s="1"/>
  <c r="R298" i="7"/>
  <c r="J301" i="7" s="1"/>
  <c r="K362" i="8"/>
  <c r="J356" i="7"/>
  <c r="R272" i="1"/>
  <c r="V316" i="8"/>
  <c r="K324" i="8" s="1"/>
  <c r="V310" i="7"/>
  <c r="J318" i="7" s="1"/>
  <c r="AD426" i="1"/>
  <c r="K488" i="8"/>
  <c r="J482" i="7"/>
  <c r="AH426" i="1"/>
  <c r="L483" i="8"/>
  <c r="K477" i="7"/>
  <c r="AJ426" i="1"/>
  <c r="R538" i="7"/>
  <c r="J544" i="7" s="1"/>
  <c r="R544" i="8"/>
  <c r="K550" i="8" s="1"/>
  <c r="CZ336" i="1"/>
  <c r="Y336" i="1" s="1"/>
  <c r="GM521" i="1"/>
  <c r="GP521" i="1" s="1"/>
  <c r="GM335" i="1"/>
  <c r="GP335" i="1" s="1"/>
  <c r="GM602" i="1"/>
  <c r="GP602" i="1" s="1"/>
  <c r="T600" i="8"/>
  <c r="K605" i="8" s="1"/>
  <c r="T594" i="7"/>
  <c r="J599" i="7" s="1"/>
  <c r="K815" i="8"/>
  <c r="J809" i="7"/>
  <c r="F631" i="1"/>
  <c r="T572" i="8"/>
  <c r="K576" i="8" s="1"/>
  <c r="T566" i="7"/>
  <c r="J570" i="7" s="1"/>
  <c r="R763" i="8"/>
  <c r="K768" i="8" s="1"/>
  <c r="R757" i="7"/>
  <c r="J762" i="7" s="1"/>
  <c r="T190" i="8"/>
  <c r="K195" i="8" s="1"/>
  <c r="T184" i="7"/>
  <c r="J189" i="7" s="1"/>
  <c r="J646" i="7"/>
  <c r="K652" i="8"/>
  <c r="CY412" i="1"/>
  <c r="X412" i="1" s="1"/>
  <c r="K498" i="8"/>
  <c r="J492" i="7"/>
  <c r="CZ412" i="1"/>
  <c r="Y412" i="1" s="1"/>
  <c r="K381" i="8"/>
  <c r="J375" i="7"/>
  <c r="L504" i="8"/>
  <c r="K498" i="7"/>
  <c r="V231" i="8"/>
  <c r="V225" i="7"/>
  <c r="K720" i="8"/>
  <c r="J726" i="8" s="1"/>
  <c r="J714" i="7"/>
  <c r="R722" i="1"/>
  <c r="GK722" i="1" s="1"/>
  <c r="V854" i="8"/>
  <c r="V848" i="7"/>
  <c r="K830" i="7"/>
  <c r="L836" i="8"/>
  <c r="K807" i="8"/>
  <c r="J801" i="7"/>
  <c r="J826" i="8"/>
  <c r="T513" i="8"/>
  <c r="K518" i="8" s="1"/>
  <c r="T507" i="7"/>
  <c r="J512" i="7" s="1"/>
  <c r="V387" i="8"/>
  <c r="K395" i="8" s="1"/>
  <c r="J397" i="8" s="1"/>
  <c r="V381" i="7"/>
  <c r="J389" i="7" s="1"/>
  <c r="R319" i="1"/>
  <c r="K798" i="8"/>
  <c r="J792" i="7"/>
  <c r="K133" i="8"/>
  <c r="J127" i="7"/>
  <c r="K169" i="8"/>
  <c r="J163" i="7"/>
  <c r="AJ149" i="1"/>
  <c r="T158" i="8"/>
  <c r="K164" i="8" s="1"/>
  <c r="T152" i="7"/>
  <c r="J158" i="7" s="1"/>
  <c r="GM236" i="1"/>
  <c r="GP236" i="1" s="1"/>
  <c r="R279" i="8"/>
  <c r="K284" i="8" s="1"/>
  <c r="R273" i="7"/>
  <c r="J278" i="7" s="1"/>
  <c r="I282" i="7" s="1"/>
  <c r="R268" i="8"/>
  <c r="K274" i="8" s="1"/>
  <c r="R262" i="7"/>
  <c r="J268" i="7" s="1"/>
  <c r="CP230" i="1"/>
  <c r="O230" i="1" s="1"/>
  <c r="T75" i="8"/>
  <c r="K79" i="8" s="1"/>
  <c r="T69" i="7"/>
  <c r="J73" i="7" s="1"/>
  <c r="R176" i="7"/>
  <c r="J180" i="7" s="1"/>
  <c r="R182" i="8"/>
  <c r="K186" i="8" s="1"/>
  <c r="CP144" i="1"/>
  <c r="O144" i="1" s="1"/>
  <c r="K234" i="8"/>
  <c r="J228" i="7"/>
  <c r="GM40" i="1"/>
  <c r="GP40" i="1" s="1"/>
  <c r="K370" i="8"/>
  <c r="J364" i="7"/>
  <c r="R485" i="8"/>
  <c r="K491" i="8" s="1"/>
  <c r="R479" i="7"/>
  <c r="J485" i="7" s="1"/>
  <c r="CY336" i="1"/>
  <c r="X336" i="1" s="1"/>
  <c r="R605" i="1"/>
  <c r="GK605" i="1" s="1"/>
  <c r="V727" i="8"/>
  <c r="V721" i="7"/>
  <c r="R600" i="8"/>
  <c r="K604" i="8" s="1"/>
  <c r="R594" i="7"/>
  <c r="J598" i="7" s="1"/>
  <c r="GM511" i="1"/>
  <c r="GP511" i="1" s="1"/>
  <c r="K814" i="8"/>
  <c r="J808" i="7"/>
  <c r="K339" i="8"/>
  <c r="J333" i="7"/>
  <c r="GM701" i="1"/>
  <c r="GP701" i="1" s="1"/>
  <c r="GM662" i="1"/>
  <c r="GP662" i="1" s="1"/>
  <c r="R572" i="8"/>
  <c r="K575" i="8" s="1"/>
  <c r="R566" i="7"/>
  <c r="J569" i="7" s="1"/>
  <c r="F174" i="1"/>
  <c r="BD124" i="1"/>
  <c r="K207" i="8"/>
  <c r="J201" i="7"/>
  <c r="L127" i="8"/>
  <c r="K121" i="7"/>
  <c r="K306" i="8"/>
  <c r="J300" i="7"/>
  <c r="CY422" i="1"/>
  <c r="X422" i="1" s="1"/>
  <c r="CZ422" i="1"/>
  <c r="Y422" i="1" s="1"/>
  <c r="GK460" i="1"/>
  <c r="K537" i="8"/>
  <c r="J531" i="7"/>
  <c r="K546" i="8"/>
  <c r="J554" i="8" s="1"/>
  <c r="J540" i="7"/>
  <c r="CY334" i="1"/>
  <c r="X334" i="1" s="1"/>
  <c r="K450" i="8"/>
  <c r="J444" i="7"/>
  <c r="CZ334" i="1"/>
  <c r="Y334" i="1" s="1"/>
  <c r="K797" i="8"/>
  <c r="J791" i="7"/>
  <c r="T854" i="8"/>
  <c r="K859" i="8" s="1"/>
  <c r="J861" i="8" s="1"/>
  <c r="T848" i="7"/>
  <c r="J853" i="7" s="1"/>
  <c r="I855" i="7" s="1"/>
  <c r="K765" i="8"/>
  <c r="J759" i="7"/>
  <c r="K347" i="8"/>
  <c r="J341" i="7"/>
  <c r="T820" i="8"/>
  <c r="K824" i="8" s="1"/>
  <c r="T814" i="7"/>
  <c r="J818" i="7" s="1"/>
  <c r="GM38" i="1"/>
  <c r="GP38" i="1" s="1"/>
  <c r="R75" i="8"/>
  <c r="K78" i="8" s="1"/>
  <c r="J81" i="8" s="1"/>
  <c r="R69" i="7"/>
  <c r="J72" i="7" s="1"/>
  <c r="T316" i="8"/>
  <c r="K323" i="8" s="1"/>
  <c r="T310" i="7"/>
  <c r="J317" i="7" s="1"/>
  <c r="T43" i="8"/>
  <c r="K50" i="8" s="1"/>
  <c r="T37" i="7"/>
  <c r="J44" i="7" s="1"/>
  <c r="AD279" i="1"/>
  <c r="K319" i="8"/>
  <c r="J313" i="7"/>
  <c r="R277" i="1"/>
  <c r="V345" i="8"/>
  <c r="K352" i="8" s="1"/>
  <c r="V339" i="7"/>
  <c r="J346" i="7" s="1"/>
  <c r="T422" i="8"/>
  <c r="K426" i="8" s="1"/>
  <c r="T416" i="7"/>
  <c r="J420" i="7" s="1"/>
  <c r="R516" i="1"/>
  <c r="GK516" i="1" s="1"/>
  <c r="V616" i="8"/>
  <c r="V610" i="7"/>
  <c r="R597" i="1"/>
  <c r="V676" i="8"/>
  <c r="K683" i="8" s="1"/>
  <c r="V670" i="7"/>
  <c r="J677" i="7" s="1"/>
  <c r="GM523" i="1"/>
  <c r="GP523" i="1" s="1"/>
  <c r="R520" i="1"/>
  <c r="V631" i="8"/>
  <c r="K639" i="8" s="1"/>
  <c r="V625" i="7"/>
  <c r="J633" i="7" s="1"/>
  <c r="K790" i="8"/>
  <c r="J784" i="7"/>
  <c r="T788" i="8"/>
  <c r="K792" i="8" s="1"/>
  <c r="T782" i="7"/>
  <c r="J786" i="7" s="1"/>
  <c r="T139" i="8"/>
  <c r="K143" i="8" s="1"/>
  <c r="T133" i="7"/>
  <c r="J137" i="7" s="1"/>
  <c r="T795" i="8"/>
  <c r="K801" i="8" s="1"/>
  <c r="T789" i="7"/>
  <c r="J795" i="7" s="1"/>
  <c r="R219" i="1"/>
  <c r="V257" i="8"/>
  <c r="K265" i="8" s="1"/>
  <c r="V251" i="7"/>
  <c r="J259" i="7" s="1"/>
  <c r="K283" i="8"/>
  <c r="J277" i="7"/>
  <c r="GK224" i="1"/>
  <c r="K184" i="8"/>
  <c r="J189" i="8" s="1"/>
  <c r="J178" i="7"/>
  <c r="I183" i="7" s="1"/>
  <c r="AQ50" i="1"/>
  <c r="BZ30" i="1"/>
  <c r="J293" i="7"/>
  <c r="K299" i="8"/>
  <c r="K549" i="8"/>
  <c r="J543" i="7"/>
  <c r="K141" i="8"/>
  <c r="J135" i="7"/>
  <c r="K153" i="8"/>
  <c r="J147" i="7"/>
  <c r="K318" i="8"/>
  <c r="J326" i="8" s="1"/>
  <c r="J312" i="7"/>
  <c r="J561" i="8"/>
  <c r="R526" i="1"/>
  <c r="GK526" i="1" s="1"/>
  <c r="V658" i="8"/>
  <c r="V652" i="7"/>
  <c r="R838" i="8"/>
  <c r="K842" i="8" s="1"/>
  <c r="J845" i="8" s="1"/>
  <c r="R832" i="7"/>
  <c r="J836" i="7" s="1"/>
  <c r="I839" i="7" s="1"/>
  <c r="K777" i="8"/>
  <c r="J782" i="8" s="1"/>
  <c r="J771" i="7"/>
  <c r="K586" i="8"/>
  <c r="J580" i="7"/>
  <c r="T616" i="8"/>
  <c r="K621" i="8" s="1"/>
  <c r="T610" i="7"/>
  <c r="J615" i="7" s="1"/>
  <c r="CP604" i="1"/>
  <c r="O604" i="1" s="1"/>
  <c r="GM706" i="1"/>
  <c r="GP706" i="1" s="1"/>
  <c r="GM142" i="1"/>
  <c r="GP142" i="1" s="1"/>
  <c r="T223" i="8"/>
  <c r="K228" i="8" s="1"/>
  <c r="T217" i="7"/>
  <c r="J222" i="7" s="1"/>
  <c r="I224" i="7" s="1"/>
  <c r="T862" i="8"/>
  <c r="K867" i="8" s="1"/>
  <c r="T856" i="7"/>
  <c r="J861" i="7" s="1"/>
  <c r="K152" i="8"/>
  <c r="J146" i="7"/>
  <c r="GM130" i="1"/>
  <c r="GP130" i="1" s="1"/>
  <c r="K215" i="8"/>
  <c r="J209" i="7"/>
  <c r="GK140" i="1"/>
  <c r="K216" i="8"/>
  <c r="J210" i="7"/>
  <c r="K332" i="8"/>
  <c r="J326" i="7"/>
  <c r="CP324" i="1"/>
  <c r="O324" i="1" s="1"/>
  <c r="K401" i="8"/>
  <c r="J405" i="8" s="1"/>
  <c r="J395" i="7"/>
  <c r="R226" i="1"/>
  <c r="GK226" i="1" s="1"/>
  <c r="GM226" i="1" s="1"/>
  <c r="GP226" i="1" s="1"/>
  <c r="V296" i="8"/>
  <c r="V290" i="7"/>
  <c r="L294" i="8"/>
  <c r="K288" i="7"/>
  <c r="CP225" i="1"/>
  <c r="O225" i="1" s="1"/>
  <c r="GM225" i="1" s="1"/>
  <c r="GP225" i="1" s="1"/>
  <c r="R133" i="1"/>
  <c r="GK133" i="1" s="1"/>
  <c r="V175" i="8"/>
  <c r="V169" i="7"/>
  <c r="R43" i="8"/>
  <c r="K49" i="8" s="1"/>
  <c r="R37" i="7"/>
  <c r="J43" i="7" s="1"/>
  <c r="CJ149" i="1"/>
  <c r="CJ124" i="1" s="1"/>
  <c r="R324" i="1"/>
  <c r="GK324" i="1" s="1"/>
  <c r="V392" i="7"/>
  <c r="V398" i="8"/>
  <c r="K564" i="8"/>
  <c r="J558" i="7"/>
  <c r="AH469" i="1"/>
  <c r="L570" i="8"/>
  <c r="K564" i="7"/>
  <c r="R422" i="8"/>
  <c r="K425" i="8" s="1"/>
  <c r="J428" i="8" s="1"/>
  <c r="R416" i="7"/>
  <c r="J419" i="7" s="1"/>
  <c r="I422" i="7" s="1"/>
  <c r="AD529" i="1"/>
  <c r="T718" i="8"/>
  <c r="K723" i="8" s="1"/>
  <c r="T712" i="7"/>
  <c r="J717" i="7" s="1"/>
  <c r="K634" i="8"/>
  <c r="J628" i="7"/>
  <c r="T734" i="8"/>
  <c r="K739" i="8" s="1"/>
  <c r="T728" i="7"/>
  <c r="J733" i="7" s="1"/>
  <c r="GM718" i="1"/>
  <c r="GP718" i="1" s="1"/>
  <c r="GM663" i="1"/>
  <c r="GP663" i="1" s="1"/>
  <c r="R788" i="8"/>
  <c r="K791" i="8" s="1"/>
  <c r="R782" i="7"/>
  <c r="J785" i="7" s="1"/>
  <c r="R139" i="8"/>
  <c r="K142" i="8" s="1"/>
  <c r="R133" i="7"/>
  <c r="J136" i="7" s="1"/>
  <c r="R795" i="8"/>
  <c r="K800" i="8" s="1"/>
  <c r="R789" i="7"/>
  <c r="J794" i="7" s="1"/>
  <c r="K120" i="8"/>
  <c r="J114" i="7"/>
  <c r="K45" i="8"/>
  <c r="J39" i="7"/>
  <c r="CY141" i="1"/>
  <c r="X141" i="1" s="1"/>
  <c r="GM141" i="1" s="1"/>
  <c r="GP141" i="1" s="1"/>
  <c r="CZ141" i="1"/>
  <c r="Y141" i="1" s="1"/>
  <c r="L144" i="8"/>
  <c r="K138" i="7"/>
  <c r="K689" i="8"/>
  <c r="J683" i="7"/>
  <c r="GK598" i="1"/>
  <c r="K431" i="8"/>
  <c r="J425" i="7"/>
  <c r="CY330" i="1"/>
  <c r="X330" i="1" s="1"/>
  <c r="CZ330" i="1"/>
  <c r="Y330" i="1" s="1"/>
  <c r="K547" i="8"/>
  <c r="J541" i="7"/>
  <c r="CZ410" i="1"/>
  <c r="Y410" i="1" s="1"/>
  <c r="K487" i="8"/>
  <c r="J481" i="7"/>
  <c r="J230" i="8"/>
  <c r="K602" i="8"/>
  <c r="J596" i="7"/>
  <c r="CP412" i="1"/>
  <c r="O412" i="1" s="1"/>
  <c r="R710" i="1"/>
  <c r="GK710" i="1" s="1"/>
  <c r="V804" i="8"/>
  <c r="V798" i="7"/>
  <c r="R616" i="8"/>
  <c r="K620" i="8" s="1"/>
  <c r="R610" i="7"/>
  <c r="J614" i="7" s="1"/>
  <c r="CY318" i="1"/>
  <c r="X318" i="1" s="1"/>
  <c r="K378" i="8"/>
  <c r="J372" i="7"/>
  <c r="CZ318" i="1"/>
  <c r="Y318" i="1" s="1"/>
  <c r="AL339" i="1" s="1"/>
  <c r="T742" i="8"/>
  <c r="K746" i="8" s="1"/>
  <c r="T736" i="7"/>
  <c r="J740" i="7" s="1"/>
  <c r="T474" i="8"/>
  <c r="K481" i="8" s="1"/>
  <c r="T468" i="7"/>
  <c r="J475" i="7" s="1"/>
  <c r="AJ727" i="1"/>
  <c r="T360" i="8"/>
  <c r="K364" i="8" s="1"/>
  <c r="T354" i="7"/>
  <c r="J358" i="7" s="1"/>
  <c r="R711" i="1"/>
  <c r="GK711" i="1" s="1"/>
  <c r="V812" i="8"/>
  <c r="V806" i="7"/>
  <c r="K67" i="8"/>
  <c r="J61" i="7"/>
  <c r="V289" i="8"/>
  <c r="V283" i="7"/>
  <c r="L52" i="8"/>
  <c r="K46" i="7"/>
  <c r="CY273" i="1"/>
  <c r="X273" i="1" s="1"/>
  <c r="K329" i="8"/>
  <c r="J323" i="7"/>
  <c r="CZ273" i="1"/>
  <c r="Y273" i="1" s="1"/>
  <c r="V440" i="8"/>
  <c r="V434" i="7"/>
  <c r="R332" i="1"/>
  <c r="GK332" i="1" s="1"/>
  <c r="K477" i="8"/>
  <c r="J471" i="7"/>
  <c r="L716" i="8"/>
  <c r="K710" i="7"/>
  <c r="L385" i="8"/>
  <c r="K379" i="7"/>
  <c r="K241" i="8"/>
  <c r="J235" i="7"/>
  <c r="L606" i="8"/>
  <c r="K600" i="7"/>
  <c r="L844" i="8"/>
  <c r="K838" i="7"/>
  <c r="K573" i="8"/>
  <c r="J578" i="8" s="1"/>
  <c r="J567" i="7"/>
  <c r="I572" i="7" s="1"/>
  <c r="CY714" i="1"/>
  <c r="X714" i="1" s="1"/>
  <c r="GM714" i="1" s="1"/>
  <c r="GP714" i="1" s="1"/>
  <c r="CZ714" i="1"/>
  <c r="Y714" i="1" s="1"/>
  <c r="GK612" i="1"/>
  <c r="K752" i="8"/>
  <c r="J746" i="7"/>
  <c r="J794" i="8"/>
  <c r="R742" i="8"/>
  <c r="K745" i="8" s="1"/>
  <c r="R736" i="7"/>
  <c r="J739" i="7" s="1"/>
  <c r="K84" i="8"/>
  <c r="J78" i="7"/>
  <c r="AL665" i="1"/>
  <c r="T763" i="8"/>
  <c r="K769" i="8" s="1"/>
  <c r="T757" i="7"/>
  <c r="J763" i="7" s="1"/>
  <c r="CP45" i="1"/>
  <c r="O45" i="1" s="1"/>
  <c r="K100" i="8"/>
  <c r="J94" i="7"/>
  <c r="R676" i="8"/>
  <c r="K681" i="8" s="1"/>
  <c r="R670" i="7"/>
  <c r="J675" i="7" s="1"/>
  <c r="GM604" i="1"/>
  <c r="GP604" i="1" s="1"/>
  <c r="R718" i="8"/>
  <c r="K722" i="8" s="1"/>
  <c r="R712" i="7"/>
  <c r="J716" i="7" s="1"/>
  <c r="R524" i="1"/>
  <c r="GK524" i="1" s="1"/>
  <c r="GM524" i="1" s="1"/>
  <c r="GP524" i="1" s="1"/>
  <c r="V650" i="8"/>
  <c r="V644" i="7"/>
  <c r="CP127" i="1"/>
  <c r="O127" i="1" s="1"/>
  <c r="K162" i="8"/>
  <c r="J156" i="7"/>
  <c r="T239" i="8"/>
  <c r="K244" i="8" s="1"/>
  <c r="T233" i="7"/>
  <c r="J238" i="7" s="1"/>
  <c r="T205" i="8"/>
  <c r="K209" i="8" s="1"/>
  <c r="T199" i="7"/>
  <c r="J203" i="7" s="1"/>
  <c r="R137" i="1"/>
  <c r="GK137" i="1" s="1"/>
  <c r="GM137" i="1" s="1"/>
  <c r="GP137" i="1" s="1"/>
  <c r="V205" i="8"/>
  <c r="V199" i="7"/>
  <c r="R35" i="1"/>
  <c r="V54" i="8"/>
  <c r="K62" i="8" s="1"/>
  <c r="V48" i="7"/>
  <c r="J56" i="7" s="1"/>
  <c r="GM331" i="1"/>
  <c r="GP331" i="1" s="1"/>
  <c r="GM423" i="1"/>
  <c r="GP423" i="1" s="1"/>
  <c r="R367" i="8"/>
  <c r="K372" i="8" s="1"/>
  <c r="R361" i="7"/>
  <c r="J366" i="7" s="1"/>
  <c r="R313" i="1"/>
  <c r="V360" i="8"/>
  <c r="V354" i="7"/>
  <c r="T676" i="8"/>
  <c r="K682" i="8" s="1"/>
  <c r="T670" i="7"/>
  <c r="J676" i="7" s="1"/>
  <c r="R584" i="8"/>
  <c r="K587" i="8" s="1"/>
  <c r="R578" i="7"/>
  <c r="J581" i="7" s="1"/>
  <c r="L705" i="8"/>
  <c r="K699" i="7"/>
  <c r="R720" i="1"/>
  <c r="GK720" i="1" s="1"/>
  <c r="V846" i="8"/>
  <c r="V840" i="7"/>
  <c r="T642" i="8"/>
  <c r="K647" i="8" s="1"/>
  <c r="T636" i="7"/>
  <c r="J641" i="7" s="1"/>
  <c r="GM722" i="1"/>
  <c r="GP722" i="1" s="1"/>
  <c r="R474" i="8"/>
  <c r="K480" i="8" s="1"/>
  <c r="R468" i="7"/>
  <c r="J474" i="7" s="1"/>
  <c r="CP716" i="1"/>
  <c r="O716" i="1" s="1"/>
  <c r="K832" i="8"/>
  <c r="J826" i="7"/>
  <c r="V139" i="8"/>
  <c r="V133" i="7"/>
  <c r="R90" i="1"/>
  <c r="L105" i="8"/>
  <c r="K99" i="7"/>
  <c r="L73" i="8"/>
  <c r="K67" i="7"/>
  <c r="CZ517" i="1"/>
  <c r="Y517" i="1" s="1"/>
  <c r="GM517" i="1" s="1"/>
  <c r="GP517" i="1" s="1"/>
  <c r="K626" i="8"/>
  <c r="J620" i="7"/>
  <c r="CY517" i="1"/>
  <c r="X517" i="1" s="1"/>
  <c r="K610" i="8"/>
  <c r="J604" i="7"/>
  <c r="I609" i="7" s="1"/>
  <c r="K660" i="8"/>
  <c r="J654" i="7"/>
  <c r="J113" i="8"/>
  <c r="R522" i="1"/>
  <c r="GK522" i="1" s="1"/>
  <c r="V642" i="8"/>
  <c r="V636" i="7"/>
  <c r="K764" i="8"/>
  <c r="J758" i="7"/>
  <c r="R325" i="1"/>
  <c r="GK325" i="1" s="1"/>
  <c r="V406" i="8"/>
  <c r="V400" i="7"/>
  <c r="K864" i="8"/>
  <c r="J869" i="8" s="1"/>
  <c r="J858" i="7"/>
  <c r="R107" i="8"/>
  <c r="K110" i="8" s="1"/>
  <c r="R101" i="7"/>
  <c r="J104" i="7" s="1"/>
  <c r="I107" i="7" s="1"/>
  <c r="I191" i="7"/>
  <c r="GK45" i="1"/>
  <c r="K101" i="8"/>
  <c r="J95" i="7"/>
  <c r="K56" i="8"/>
  <c r="J50" i="7"/>
  <c r="K458" i="8"/>
  <c r="J452" i="7"/>
  <c r="T119" i="8"/>
  <c r="K125" i="8" s="1"/>
  <c r="T113" i="7"/>
  <c r="J119" i="7" s="1"/>
  <c r="GM228" i="1"/>
  <c r="GP228" i="1" s="1"/>
  <c r="AD50" i="1"/>
  <c r="K57" i="8"/>
  <c r="J51" i="7"/>
  <c r="T367" i="8"/>
  <c r="K373" i="8" s="1"/>
  <c r="T361" i="7"/>
  <c r="J367" i="7" s="1"/>
  <c r="CP506" i="1"/>
  <c r="O506" i="1" s="1"/>
  <c r="K595" i="8"/>
  <c r="J589" i="7"/>
  <c r="GK85" i="1"/>
  <c r="K132" i="8"/>
  <c r="J126" i="7"/>
  <c r="GM87" i="1"/>
  <c r="GP87" i="1" s="1"/>
  <c r="R239" i="8"/>
  <c r="K243" i="8" s="1"/>
  <c r="R233" i="7"/>
  <c r="J237" i="7" s="1"/>
  <c r="R205" i="8"/>
  <c r="K208" i="8" s="1"/>
  <c r="R199" i="7"/>
  <c r="J202" i="7" s="1"/>
  <c r="T296" i="8"/>
  <c r="K301" i="8" s="1"/>
  <c r="T290" i="7"/>
  <c r="J295" i="7" s="1"/>
  <c r="R465" i="1"/>
  <c r="V562" i="8"/>
  <c r="K569" i="8" s="1"/>
  <c r="V556" i="7"/>
  <c r="J563" i="7" s="1"/>
  <c r="GM326" i="1"/>
  <c r="GP326" i="1" s="1"/>
  <c r="K479" i="8"/>
  <c r="J473" i="7"/>
  <c r="T658" i="8"/>
  <c r="K663" i="8" s="1"/>
  <c r="T652" i="7"/>
  <c r="J657" i="7" s="1"/>
  <c r="AD618" i="1"/>
  <c r="K699" i="8"/>
  <c r="J693" i="7"/>
  <c r="R642" i="8"/>
  <c r="K646" i="8" s="1"/>
  <c r="R636" i="7"/>
  <c r="J640" i="7" s="1"/>
  <c r="K459" i="8"/>
  <c r="J453" i="7"/>
  <c r="K806" i="8"/>
  <c r="J800" i="7"/>
  <c r="R360" i="8"/>
  <c r="K363" i="8" s="1"/>
  <c r="R354" i="7"/>
  <c r="J357" i="7" s="1"/>
  <c r="T608" i="8"/>
  <c r="K613" i="8" s="1"/>
  <c r="T602" i="7"/>
  <c r="J607" i="7" s="1"/>
  <c r="K140" i="8"/>
  <c r="J134" i="7"/>
  <c r="K242" i="8"/>
  <c r="J236" i="7"/>
  <c r="CY337" i="1"/>
  <c r="X337" i="1" s="1"/>
  <c r="CZ337" i="1"/>
  <c r="Y337" i="1" s="1"/>
  <c r="GM337" i="1" s="1"/>
  <c r="GP337" i="1" s="1"/>
  <c r="CY413" i="1"/>
  <c r="X413" i="1" s="1"/>
  <c r="K508" i="8"/>
  <c r="J502" i="7"/>
  <c r="J295" i="8"/>
  <c r="CC405" i="1"/>
  <c r="AT426" i="1"/>
  <c r="CZ610" i="1"/>
  <c r="Y610" i="1" s="1"/>
  <c r="CY610" i="1"/>
  <c r="X610" i="1" s="1"/>
  <c r="GM610" i="1" s="1"/>
  <c r="GP610" i="1" s="1"/>
  <c r="V838" i="8"/>
  <c r="V832" i="7"/>
  <c r="R609" i="1"/>
  <c r="GK609" i="1" s="1"/>
  <c r="GM609" i="1" s="1"/>
  <c r="GP609" i="1" s="1"/>
  <c r="V742" i="8"/>
  <c r="V736" i="7"/>
  <c r="J748" i="8"/>
  <c r="R54" i="8"/>
  <c r="K60" i="8" s="1"/>
  <c r="R48" i="7"/>
  <c r="J54" i="7" s="1"/>
  <c r="V734" i="8"/>
  <c r="V728" i="7"/>
  <c r="R606" i="1"/>
  <c r="GK606" i="1" s="1"/>
  <c r="GM606" i="1" s="1"/>
  <c r="GP606" i="1" s="1"/>
  <c r="CP702" i="1"/>
  <c r="O702" i="1" s="1"/>
  <c r="GM702" i="1" s="1"/>
  <c r="GP702" i="1" s="1"/>
  <c r="K799" i="8"/>
  <c r="J793" i="7"/>
  <c r="AD92" i="1"/>
  <c r="AD82" i="1" s="1"/>
  <c r="K131" i="8"/>
  <c r="J125" i="7"/>
  <c r="R136" i="1"/>
  <c r="GK136" i="1" s="1"/>
  <c r="GM136" i="1" s="1"/>
  <c r="GP136" i="1" s="1"/>
  <c r="V198" i="8"/>
  <c r="V192" i="7"/>
  <c r="CP319" i="1"/>
  <c r="O319" i="1" s="1"/>
  <c r="K392" i="8"/>
  <c r="J386" i="7"/>
  <c r="K271" i="8"/>
  <c r="J265" i="7"/>
  <c r="GM138" i="1"/>
  <c r="GP138" i="1" s="1"/>
  <c r="R296" i="8"/>
  <c r="K300" i="8" s="1"/>
  <c r="J303" i="8" s="1"/>
  <c r="R290" i="7"/>
  <c r="J294" i="7" s="1"/>
  <c r="AG339" i="1"/>
  <c r="AG311" i="1" s="1"/>
  <c r="AI339" i="1"/>
  <c r="V339" i="1" s="1"/>
  <c r="L237" i="8"/>
  <c r="K231" i="7"/>
  <c r="GM327" i="1"/>
  <c r="GP327" i="1" s="1"/>
  <c r="AD469" i="1"/>
  <c r="K565" i="8"/>
  <c r="J559" i="7"/>
  <c r="T345" i="8"/>
  <c r="K351" i="8" s="1"/>
  <c r="T339" i="7"/>
  <c r="J345" i="7" s="1"/>
  <c r="R326" i="1"/>
  <c r="GK326" i="1" s="1"/>
  <c r="V414" i="8"/>
  <c r="V408" i="7"/>
  <c r="CP508" i="1"/>
  <c r="O508" i="1" s="1"/>
  <c r="R702" i="1"/>
  <c r="GK702" i="1" s="1"/>
  <c r="V795" i="8"/>
  <c r="V789" i="7"/>
  <c r="R440" i="8"/>
  <c r="K444" i="8" s="1"/>
  <c r="R434" i="7"/>
  <c r="J438" i="7" s="1"/>
  <c r="I441" i="7" s="1"/>
  <c r="R658" i="8"/>
  <c r="K662" i="8" s="1"/>
  <c r="R652" i="7"/>
  <c r="J656" i="7" s="1"/>
  <c r="T707" i="8"/>
  <c r="K714" i="8" s="1"/>
  <c r="T701" i="7"/>
  <c r="J708" i="7" s="1"/>
  <c r="T749" i="8"/>
  <c r="K754" i="8" s="1"/>
  <c r="J757" i="8" s="1"/>
  <c r="T743" i="7"/>
  <c r="J748" i="7" s="1"/>
  <c r="R716" i="1"/>
  <c r="V827" i="8"/>
  <c r="K835" i="8" s="1"/>
  <c r="V821" i="7"/>
  <c r="J829" i="7" s="1"/>
  <c r="AC618" i="1"/>
  <c r="K701" i="8"/>
  <c r="J695" i="7"/>
  <c r="R608" i="8"/>
  <c r="K612" i="8" s="1"/>
  <c r="R602" i="7"/>
  <c r="J606" i="7" s="1"/>
  <c r="T827" i="8"/>
  <c r="K834" i="8" s="1"/>
  <c r="T821" i="7"/>
  <c r="J828" i="7" s="1"/>
  <c r="CY45" i="1"/>
  <c r="X45" i="1" s="1"/>
  <c r="K99" i="8"/>
  <c r="J93" i="7"/>
  <c r="CZ45" i="1"/>
  <c r="Y45" i="1" s="1"/>
  <c r="CG30" i="1"/>
  <c r="AX50" i="1"/>
  <c r="L446" i="8"/>
  <c r="K440" i="7"/>
  <c r="K361" i="8"/>
  <c r="J355" i="7"/>
  <c r="K369" i="8"/>
  <c r="J375" i="8" s="1"/>
  <c r="J363" i="7"/>
  <c r="R514" i="1"/>
  <c r="GK514" i="1" s="1"/>
  <c r="V600" i="8"/>
  <c r="V594" i="7"/>
  <c r="J166" i="8"/>
  <c r="K594" i="8"/>
  <c r="J588" i="7"/>
  <c r="K698" i="8"/>
  <c r="J706" i="8" s="1"/>
  <c r="J692" i="7"/>
  <c r="J638" i="7"/>
  <c r="K644" i="8"/>
  <c r="J649" i="8" s="1"/>
  <c r="R652" i="1"/>
  <c r="V757" i="7"/>
  <c r="J764" i="7" s="1"/>
  <c r="V763" i="8"/>
  <c r="K770" i="8" s="1"/>
  <c r="K829" i="8"/>
  <c r="J823" i="7"/>
  <c r="K177" i="8"/>
  <c r="J171" i="7"/>
  <c r="R734" i="8"/>
  <c r="K738" i="8" s="1"/>
  <c r="J741" i="8" s="1"/>
  <c r="R728" i="7"/>
  <c r="J732" i="7" s="1"/>
  <c r="I735" i="7" s="1"/>
  <c r="GM719" i="1"/>
  <c r="GP719" i="1" s="1"/>
  <c r="T90" i="8"/>
  <c r="K94" i="8" s="1"/>
  <c r="J96" i="8" s="1"/>
  <c r="T84" i="7"/>
  <c r="J88" i="7" s="1"/>
  <c r="I90" i="7" s="1"/>
  <c r="R119" i="8"/>
  <c r="K124" i="8" s="1"/>
  <c r="R113" i="7"/>
  <c r="J118" i="7" s="1"/>
  <c r="GM42" i="1"/>
  <c r="GP42" i="1" s="1"/>
  <c r="R90" i="8"/>
  <c r="K93" i="8" s="1"/>
  <c r="R84" i="7"/>
  <c r="J87" i="7" s="1"/>
  <c r="T65" i="8"/>
  <c r="K71" i="8" s="1"/>
  <c r="T59" i="7"/>
  <c r="J65" i="7" s="1"/>
  <c r="GM32" i="1"/>
  <c r="GP32" i="1" s="1"/>
  <c r="F75" i="1"/>
  <c r="GM37" i="1"/>
  <c r="GP37" i="1" s="1"/>
  <c r="R65" i="8"/>
  <c r="K70" i="8" s="1"/>
  <c r="R59" i="7"/>
  <c r="J64" i="7" s="1"/>
  <c r="CP126" i="1"/>
  <c r="O126" i="1" s="1"/>
  <c r="R220" i="1"/>
  <c r="V268" i="8"/>
  <c r="K276" i="8" s="1"/>
  <c r="J278" i="8" s="1"/>
  <c r="V262" i="7"/>
  <c r="J270" i="7" s="1"/>
  <c r="GM224" i="1"/>
  <c r="GP224" i="1" s="1"/>
  <c r="AH339" i="1"/>
  <c r="K432" i="7"/>
  <c r="L438" i="8"/>
  <c r="CP140" i="1"/>
  <c r="O140" i="1" s="1"/>
  <c r="K217" i="8"/>
  <c r="J211" i="7"/>
  <c r="R336" i="1"/>
  <c r="GK336" i="1" s="1"/>
  <c r="V456" i="8"/>
  <c r="V450" i="7"/>
  <c r="R345" i="8"/>
  <c r="K350" i="8" s="1"/>
  <c r="R339" i="7"/>
  <c r="J344" i="7" s="1"/>
  <c r="CP516" i="1"/>
  <c r="O516" i="1" s="1"/>
  <c r="GM516" i="1" s="1"/>
  <c r="GP516" i="1" s="1"/>
  <c r="K619" i="8"/>
  <c r="J623" i="8" s="1"/>
  <c r="J613" i="7"/>
  <c r="I617" i="7" s="1"/>
  <c r="CP464" i="1"/>
  <c r="O464" i="1" s="1"/>
  <c r="K557" i="8"/>
  <c r="J551" i="7"/>
  <c r="I555" i="7" s="1"/>
  <c r="GM422" i="1"/>
  <c r="GP422" i="1" s="1"/>
  <c r="GM518" i="1"/>
  <c r="GP518" i="1" s="1"/>
  <c r="T584" i="8"/>
  <c r="K588" i="8" s="1"/>
  <c r="T578" i="7"/>
  <c r="J582" i="7" s="1"/>
  <c r="T440" i="8"/>
  <c r="K445" i="8" s="1"/>
  <c r="T434" i="7"/>
  <c r="J439" i="7" s="1"/>
  <c r="CZ598" i="1"/>
  <c r="Y598" i="1" s="1"/>
  <c r="R707" i="8"/>
  <c r="K713" i="8" s="1"/>
  <c r="J717" i="8" s="1"/>
  <c r="R701" i="7"/>
  <c r="J707" i="7" s="1"/>
  <c r="K636" i="8"/>
  <c r="J630" i="7"/>
  <c r="GM612" i="1"/>
  <c r="GP612" i="1" s="1"/>
  <c r="R749" i="8"/>
  <c r="K753" i="8" s="1"/>
  <c r="R743" i="7"/>
  <c r="J747" i="7" s="1"/>
  <c r="GM607" i="1"/>
  <c r="GP607" i="1" s="1"/>
  <c r="AD727" i="1"/>
  <c r="AI727" i="1"/>
  <c r="T650" i="8"/>
  <c r="K655" i="8" s="1"/>
  <c r="T644" i="7"/>
  <c r="J649" i="7" s="1"/>
  <c r="R827" i="8"/>
  <c r="K833" i="8" s="1"/>
  <c r="R821" i="7"/>
  <c r="J827" i="7" s="1"/>
  <c r="V43" i="8"/>
  <c r="K51" i="8" s="1"/>
  <c r="V37" i="7"/>
  <c r="J45" i="7" s="1"/>
  <c r="R34" i="1"/>
  <c r="CZ219" i="1"/>
  <c r="Y219" i="1" s="1"/>
  <c r="K259" i="8"/>
  <c r="J253" i="7"/>
  <c r="L180" i="8"/>
  <c r="K174" i="7"/>
  <c r="K199" i="8"/>
  <c r="J204" i="8" s="1"/>
  <c r="J193" i="7"/>
  <c r="F435" i="1"/>
  <c r="AP405" i="1"/>
  <c r="R318" i="1"/>
  <c r="V376" i="8"/>
  <c r="K384" i="8" s="1"/>
  <c r="V370" i="7"/>
  <c r="J378" i="7" s="1"/>
  <c r="I399" i="7"/>
  <c r="L412" i="8"/>
  <c r="K406" i="7"/>
  <c r="K677" i="8"/>
  <c r="J685" i="8" s="1"/>
  <c r="J671" i="7"/>
  <c r="K233" i="8"/>
  <c r="J227" i="7"/>
  <c r="R414" i="8"/>
  <c r="K418" i="8" s="1"/>
  <c r="J421" i="8" s="1"/>
  <c r="R408" i="7"/>
  <c r="J412" i="7" s="1"/>
  <c r="I415" i="7" s="1"/>
  <c r="K751" i="8"/>
  <c r="J745" i="7"/>
  <c r="R699" i="1"/>
  <c r="GK699" i="1" s="1"/>
  <c r="V788" i="8"/>
  <c r="V782" i="7"/>
  <c r="CP514" i="1"/>
  <c r="O514" i="1" s="1"/>
  <c r="K603" i="8"/>
  <c r="J597" i="7"/>
  <c r="CY506" i="1"/>
  <c r="X506" i="1" s="1"/>
  <c r="AK529" i="1" s="1"/>
  <c r="K593" i="8"/>
  <c r="J587" i="7"/>
  <c r="Q529" i="1"/>
  <c r="AD501" i="1"/>
  <c r="CE618" i="1"/>
  <c r="CF618" i="1"/>
  <c r="CH618" i="1"/>
  <c r="AC595" i="1"/>
  <c r="P618" i="1"/>
  <c r="W339" i="1"/>
  <c r="AJ311" i="1"/>
  <c r="AJ697" i="1"/>
  <c r="W727" i="1"/>
  <c r="AG215" i="1"/>
  <c r="T238" i="1"/>
  <c r="T618" i="1"/>
  <c r="AG595" i="1"/>
  <c r="Q618" i="1"/>
  <c r="AD595" i="1"/>
  <c r="W529" i="1"/>
  <c r="AJ501" i="1"/>
  <c r="AH124" i="1"/>
  <c r="U149" i="1"/>
  <c r="AH311" i="1"/>
  <c r="U339" i="1"/>
  <c r="CJ501" i="1"/>
  <c r="BA529" i="1"/>
  <c r="AH697" i="1"/>
  <c r="U727" i="1"/>
  <c r="AJ124" i="1"/>
  <c r="W149" i="1"/>
  <c r="AH458" i="1"/>
  <c r="U469" i="1"/>
  <c r="V238" i="1"/>
  <c r="AI215" i="1"/>
  <c r="AD124" i="1"/>
  <c r="Q149" i="1"/>
  <c r="AD30" i="1"/>
  <c r="Q50" i="1"/>
  <c r="AI697" i="1"/>
  <c r="V727" i="1"/>
  <c r="BA469" i="1"/>
  <c r="CJ458" i="1"/>
  <c r="AI595" i="1"/>
  <c r="V618" i="1"/>
  <c r="T339" i="1"/>
  <c r="AH215" i="1"/>
  <c r="U238" i="1"/>
  <c r="BA339" i="1"/>
  <c r="CJ311" i="1"/>
  <c r="AG30" i="1"/>
  <c r="T50" i="1"/>
  <c r="BC26" i="1"/>
  <c r="F195" i="1"/>
  <c r="AZ238" i="1"/>
  <c r="CI215" i="1"/>
  <c r="Q469" i="1"/>
  <c r="AD458" i="1"/>
  <c r="CJ215" i="1"/>
  <c r="BA238" i="1"/>
  <c r="CJ697" i="1"/>
  <c r="BA727" i="1"/>
  <c r="T149" i="1"/>
  <c r="AG124" i="1"/>
  <c r="CI595" i="1"/>
  <c r="AZ618" i="1"/>
  <c r="GM616" i="1"/>
  <c r="GP616" i="1" s="1"/>
  <c r="AG82" i="1"/>
  <c r="T92" i="1"/>
  <c r="GM36" i="1"/>
  <c r="GP36" i="1" s="1"/>
  <c r="CZ133" i="1"/>
  <c r="Y133" i="1" s="1"/>
  <c r="CY133" i="1"/>
  <c r="X133" i="1" s="1"/>
  <c r="CC124" i="1"/>
  <c r="AT149" i="1"/>
  <c r="GK35" i="1"/>
  <c r="AD405" i="1"/>
  <c r="Q426" i="1"/>
  <c r="GM418" i="1"/>
  <c r="GP418" i="1" s="1"/>
  <c r="AJ458" i="1"/>
  <c r="W469" i="1"/>
  <c r="GM463" i="1"/>
  <c r="GP463" i="1" s="1"/>
  <c r="AT618" i="1"/>
  <c r="CC595" i="1"/>
  <c r="AO595" i="1"/>
  <c r="F622" i="1"/>
  <c r="AO757" i="1"/>
  <c r="CG405" i="1"/>
  <c r="AX426" i="1"/>
  <c r="AP595" i="1"/>
  <c r="AP757" i="1"/>
  <c r="F627" i="1"/>
  <c r="AI458" i="1"/>
  <c r="V469" i="1"/>
  <c r="CG501" i="1"/>
  <c r="AX529" i="1"/>
  <c r="GM86" i="1"/>
  <c r="GP86" i="1" s="1"/>
  <c r="CY421" i="1"/>
  <c r="X421" i="1" s="1"/>
  <c r="CZ421" i="1"/>
  <c r="Y421" i="1" s="1"/>
  <c r="AF311" i="1"/>
  <c r="S339" i="1"/>
  <c r="GM41" i="1"/>
  <c r="GP41" i="1" s="1"/>
  <c r="GM231" i="1"/>
  <c r="GP231" i="1" s="1"/>
  <c r="GM144" i="1"/>
  <c r="GP144" i="1" s="1"/>
  <c r="AC238" i="1"/>
  <c r="F295" i="1"/>
  <c r="BC270" i="1"/>
  <c r="BC369" i="1"/>
  <c r="BC787" i="1" s="1"/>
  <c r="GM233" i="1"/>
  <c r="GP233" i="1" s="1"/>
  <c r="CC270" i="1"/>
  <c r="AT279" i="1"/>
  <c r="GM332" i="1"/>
  <c r="GP332" i="1" s="1"/>
  <c r="GM464" i="1"/>
  <c r="GP464" i="1" s="1"/>
  <c r="GM416" i="1"/>
  <c r="GP416" i="1" s="1"/>
  <c r="CP465" i="1"/>
  <c r="O465" i="1" s="1"/>
  <c r="CP657" i="1"/>
  <c r="O657" i="1" s="1"/>
  <c r="GM657" i="1" s="1"/>
  <c r="GP657" i="1" s="1"/>
  <c r="CP608" i="1"/>
  <c r="O608" i="1" s="1"/>
  <c r="GM608" i="1" s="1"/>
  <c r="GP608" i="1" s="1"/>
  <c r="GM413" i="1"/>
  <c r="GP413" i="1" s="1"/>
  <c r="CB595" i="1"/>
  <c r="AS618" i="1"/>
  <c r="AG650" i="1"/>
  <c r="T665" i="1"/>
  <c r="F486" i="1"/>
  <c r="AS458" i="1"/>
  <c r="AS559" i="1"/>
  <c r="AK339" i="1"/>
  <c r="BA650" i="1"/>
  <c r="F685" i="1"/>
  <c r="AQ595" i="1"/>
  <c r="AQ757" i="1"/>
  <c r="F628" i="1"/>
  <c r="F642" i="1"/>
  <c r="W595" i="1"/>
  <c r="W757" i="1"/>
  <c r="BD215" i="1"/>
  <c r="F263" i="1"/>
  <c r="BD369" i="1"/>
  <c r="F436" i="1"/>
  <c r="AQ405" i="1"/>
  <c r="CP711" i="1"/>
  <c r="O711" i="1" s="1"/>
  <c r="BA405" i="1"/>
  <c r="F446" i="1"/>
  <c r="BZ458" i="1"/>
  <c r="AQ469" i="1"/>
  <c r="CG469" i="1"/>
  <c r="BD591" i="1"/>
  <c r="F782" i="1"/>
  <c r="F687" i="1"/>
  <c r="U650" i="1"/>
  <c r="CP85" i="1"/>
  <c r="O85" i="1" s="1"/>
  <c r="CP128" i="1"/>
  <c r="O128" i="1" s="1"/>
  <c r="GM328" i="1"/>
  <c r="GP328" i="1" s="1"/>
  <c r="V30" i="1"/>
  <c r="F73" i="1"/>
  <c r="AS270" i="1"/>
  <c r="F296" i="1"/>
  <c r="CP333" i="1"/>
  <c r="O333" i="1" s="1"/>
  <c r="AI501" i="1"/>
  <c r="V529" i="1"/>
  <c r="GM503" i="1"/>
  <c r="T469" i="1"/>
  <c r="AG458" i="1"/>
  <c r="GM334" i="1"/>
  <c r="GP334" i="1" s="1"/>
  <c r="AT311" i="1"/>
  <c r="F357" i="1"/>
  <c r="CY460" i="1"/>
  <c r="X460" i="1" s="1"/>
  <c r="CZ460" i="1"/>
  <c r="Y460" i="1" s="1"/>
  <c r="AF469" i="1"/>
  <c r="CC501" i="1"/>
  <c r="AT529" i="1"/>
  <c r="AP650" i="1"/>
  <c r="F674" i="1"/>
  <c r="AB665" i="1"/>
  <c r="GM661" i="1"/>
  <c r="GP661" i="1" s="1"/>
  <c r="CH650" i="1"/>
  <c r="AY665" i="1"/>
  <c r="F744" i="1"/>
  <c r="AS697" i="1"/>
  <c r="CZ132" i="1"/>
  <c r="Y132" i="1" s="1"/>
  <c r="CY132" i="1"/>
  <c r="X132" i="1" s="1"/>
  <c r="GM507" i="1"/>
  <c r="GP507" i="1" s="1"/>
  <c r="BC124" i="1"/>
  <c r="F165" i="1"/>
  <c r="GM712" i="1"/>
  <c r="GP712" i="1" s="1"/>
  <c r="CY128" i="1"/>
  <c r="X128" i="1" s="1"/>
  <c r="CZ128" i="1"/>
  <c r="Y128" i="1" s="1"/>
  <c r="CP35" i="1"/>
  <c r="O35" i="1" s="1"/>
  <c r="GM35" i="1" s="1"/>
  <c r="GP35" i="1" s="1"/>
  <c r="AC50" i="1"/>
  <c r="CP273" i="1"/>
  <c r="O273" i="1" s="1"/>
  <c r="GM221" i="1"/>
  <c r="GP221" i="1" s="1"/>
  <c r="AD238" i="1"/>
  <c r="F255" i="1"/>
  <c r="AS215" i="1"/>
  <c r="AS369" i="1"/>
  <c r="AP401" i="1"/>
  <c r="F568" i="1"/>
  <c r="CP132" i="1"/>
  <c r="O132" i="1" s="1"/>
  <c r="AC92" i="1"/>
  <c r="CP421" i="1"/>
  <c r="O421" i="1" s="1"/>
  <c r="GM421" i="1" s="1"/>
  <c r="GP421" i="1" s="1"/>
  <c r="GM508" i="1"/>
  <c r="GP508" i="1" s="1"/>
  <c r="GM467" i="1"/>
  <c r="GP467" i="1" s="1"/>
  <c r="CI650" i="1"/>
  <c r="AZ665" i="1"/>
  <c r="GM654" i="1"/>
  <c r="GP654" i="1" s="1"/>
  <c r="CZ707" i="1"/>
  <c r="Y707" i="1" s="1"/>
  <c r="CY707" i="1"/>
  <c r="X707" i="1" s="1"/>
  <c r="GM707" i="1" s="1"/>
  <c r="GP707" i="1" s="1"/>
  <c r="AW665" i="1"/>
  <c r="CF650" i="1"/>
  <c r="F364" i="1"/>
  <c r="BD311" i="1"/>
  <c r="CJ82" i="1"/>
  <c r="BA92" i="1"/>
  <c r="CY47" i="1"/>
  <c r="X47" i="1" s="1"/>
  <c r="CZ47" i="1"/>
  <c r="Y47" i="1" s="1"/>
  <c r="W279" i="1"/>
  <c r="AJ270" i="1"/>
  <c r="CY320" i="1"/>
  <c r="X320" i="1" s="1"/>
  <c r="CZ320" i="1"/>
  <c r="Y320" i="1" s="1"/>
  <c r="AF82" i="1"/>
  <c r="S92" i="1"/>
  <c r="CY232" i="1"/>
  <c r="X232" i="1" s="1"/>
  <c r="CZ232" i="1"/>
  <c r="Y232" i="1" s="1"/>
  <c r="CP43" i="1"/>
  <c r="O43" i="1" s="1"/>
  <c r="GM43" i="1" s="1"/>
  <c r="GP43" i="1" s="1"/>
  <c r="F251" i="1"/>
  <c r="BB215" i="1"/>
  <c r="BB369" i="1"/>
  <c r="AT82" i="1"/>
  <c r="F110" i="1"/>
  <c r="GM134" i="1"/>
  <c r="GP134" i="1" s="1"/>
  <c r="AI149" i="1"/>
  <c r="CP133" i="1"/>
  <c r="O133" i="1" s="1"/>
  <c r="GK220" i="1"/>
  <c r="GM220" i="1" s="1"/>
  <c r="GP220" i="1" s="1"/>
  <c r="AS82" i="1"/>
  <c r="F109" i="1"/>
  <c r="GM235" i="1"/>
  <c r="GP235" i="1" s="1"/>
  <c r="S238" i="1"/>
  <c r="AF215" i="1"/>
  <c r="GM84" i="1"/>
  <c r="GM411" i="1"/>
  <c r="GP411" i="1" s="1"/>
  <c r="S529" i="1"/>
  <c r="AF501" i="1"/>
  <c r="F752" i="1"/>
  <c r="BD697" i="1"/>
  <c r="CZ710" i="1"/>
  <c r="Y710" i="1" s="1"/>
  <c r="AF727" i="1"/>
  <c r="CY710" i="1"/>
  <c r="X710" i="1" s="1"/>
  <c r="CE650" i="1"/>
  <c r="AV665" i="1"/>
  <c r="CG697" i="1"/>
  <c r="AX727" i="1"/>
  <c r="Q727" i="1"/>
  <c r="AD697" i="1"/>
  <c r="BA595" i="1"/>
  <c r="BA757" i="1"/>
  <c r="F638" i="1"/>
  <c r="CZ419" i="1"/>
  <c r="Y419" i="1" s="1"/>
  <c r="CY419" i="1"/>
  <c r="X419" i="1" s="1"/>
  <c r="GM611" i="1"/>
  <c r="GP611" i="1" s="1"/>
  <c r="CI50" i="1"/>
  <c r="AP50" i="1"/>
  <c r="BY30" i="1"/>
  <c r="AO179" i="1"/>
  <c r="AO82" i="1"/>
  <c r="F96" i="1"/>
  <c r="CY127" i="1"/>
  <c r="X127" i="1" s="1"/>
  <c r="CZ127" i="1"/>
  <c r="Y127" i="1" s="1"/>
  <c r="GM127" i="1" s="1"/>
  <c r="GP127" i="1" s="1"/>
  <c r="CP232" i="1"/>
  <c r="O232" i="1" s="1"/>
  <c r="GM322" i="1"/>
  <c r="GP322" i="1" s="1"/>
  <c r="CI469" i="1"/>
  <c r="BZ501" i="1"/>
  <c r="AQ529" i="1"/>
  <c r="GM613" i="1"/>
  <c r="GP613" i="1" s="1"/>
  <c r="GM525" i="1"/>
  <c r="GP525" i="1" s="1"/>
  <c r="AX618" i="1"/>
  <c r="CG595" i="1"/>
  <c r="AG501" i="1"/>
  <c r="T529" i="1"/>
  <c r="CP605" i="1"/>
  <c r="O605" i="1" s="1"/>
  <c r="GM659" i="1"/>
  <c r="GP659" i="1" s="1"/>
  <c r="AG697" i="1"/>
  <c r="T727" i="1"/>
  <c r="F737" i="1"/>
  <c r="AQ697" i="1"/>
  <c r="AL238" i="1"/>
  <c r="AJ215" i="1"/>
  <c r="W238" i="1"/>
  <c r="AJ82" i="1"/>
  <c r="W92" i="1"/>
  <c r="AJ405" i="1"/>
  <c r="W426" i="1"/>
  <c r="GM506" i="1"/>
  <c r="GP506" i="1" s="1"/>
  <c r="CP699" i="1"/>
  <c r="O699" i="1" s="1"/>
  <c r="AC727" i="1"/>
  <c r="AT697" i="1"/>
  <c r="F745" i="1"/>
  <c r="CP336" i="1"/>
  <c r="O336" i="1" s="1"/>
  <c r="GM336" i="1" s="1"/>
  <c r="GP336" i="1" s="1"/>
  <c r="CG650" i="1"/>
  <c r="AX665" i="1"/>
  <c r="GM717" i="1"/>
  <c r="GP717" i="1" s="1"/>
  <c r="F736" i="1"/>
  <c r="AP697" i="1"/>
  <c r="W50" i="1"/>
  <c r="AJ30" i="1"/>
  <c r="CG124" i="1"/>
  <c r="AX149" i="1"/>
  <c r="CI311" i="1"/>
  <c r="AZ339" i="1"/>
  <c r="CY711" i="1"/>
  <c r="X711" i="1" s="1"/>
  <c r="CZ711" i="1"/>
  <c r="Y711" i="1" s="1"/>
  <c r="CY143" i="1"/>
  <c r="X143" i="1" s="1"/>
  <c r="CZ143" i="1"/>
  <c r="Y143" i="1" s="1"/>
  <c r="GK126" i="1"/>
  <c r="F430" i="1"/>
  <c r="AO405" i="1"/>
  <c r="AO559" i="1"/>
  <c r="AK618" i="1"/>
  <c r="AF270" i="1"/>
  <c r="S279" i="1"/>
  <c r="AE279" i="1"/>
  <c r="GK272" i="1"/>
  <c r="CZ465" i="1"/>
  <c r="Y465" i="1" s="1"/>
  <c r="CY465" i="1"/>
  <c r="X465" i="1" s="1"/>
  <c r="BC559" i="1"/>
  <c r="BC501" i="1"/>
  <c r="F545" i="1"/>
  <c r="F247" i="1"/>
  <c r="AP215" i="1"/>
  <c r="AP369" i="1"/>
  <c r="AD339" i="1"/>
  <c r="GM519" i="1"/>
  <c r="GP519" i="1" s="1"/>
  <c r="CY39" i="1"/>
  <c r="X39" i="1" s="1"/>
  <c r="CZ39" i="1"/>
  <c r="Y39" i="1" s="1"/>
  <c r="CC30" i="1"/>
  <c r="AT50" i="1"/>
  <c r="AI82" i="1"/>
  <c r="V92" i="1"/>
  <c r="CP39" i="1"/>
  <c r="O39" i="1" s="1"/>
  <c r="AC149" i="1"/>
  <c r="CP129" i="1"/>
  <c r="O129" i="1" s="1"/>
  <c r="GM129" i="1" s="1"/>
  <c r="GP129" i="1" s="1"/>
  <c r="AI270" i="1"/>
  <c r="V279" i="1"/>
  <c r="AK279" i="1"/>
  <c r="CP419" i="1"/>
  <c r="O419" i="1" s="1"/>
  <c r="GM614" i="1"/>
  <c r="GP614" i="1" s="1"/>
  <c r="AH618" i="1"/>
  <c r="BB697" i="1"/>
  <c r="F740" i="1"/>
  <c r="CP460" i="1"/>
  <c r="O460" i="1" s="1"/>
  <c r="GM656" i="1"/>
  <c r="GP656" i="1" s="1"/>
  <c r="V650" i="1"/>
  <c r="F688" i="1"/>
  <c r="GM709" i="1"/>
  <c r="GP709" i="1" s="1"/>
  <c r="AL650" i="1"/>
  <c r="Y665" i="1"/>
  <c r="GM713" i="1"/>
  <c r="GP713" i="1" s="1"/>
  <c r="U50" i="1"/>
  <c r="AH30" i="1"/>
  <c r="F494" i="1"/>
  <c r="BD458" i="1"/>
  <c r="BD559" i="1"/>
  <c r="CP272" i="1"/>
  <c r="O272" i="1" s="1"/>
  <c r="AC279" i="1"/>
  <c r="BY124" i="1"/>
  <c r="CI149" i="1"/>
  <c r="AP149" i="1"/>
  <c r="F102" i="1"/>
  <c r="AQ82" i="1"/>
  <c r="Q279" i="1"/>
  <c r="AD270" i="1"/>
  <c r="F542" i="1"/>
  <c r="BB501" i="1"/>
  <c r="AE339" i="1"/>
  <c r="GK313" i="1"/>
  <c r="F301" i="1"/>
  <c r="U270" i="1"/>
  <c r="AQ124" i="1"/>
  <c r="F159" i="1"/>
  <c r="GM276" i="1"/>
  <c r="GP276" i="1" s="1"/>
  <c r="P469" i="1"/>
  <c r="CE469" i="1"/>
  <c r="CF469" i="1"/>
  <c r="AC458" i="1"/>
  <c r="CH469" i="1"/>
  <c r="AF650" i="1"/>
  <c r="S665" i="1"/>
  <c r="BB124" i="1"/>
  <c r="BB179" i="1"/>
  <c r="F162" i="1"/>
  <c r="GM44" i="1"/>
  <c r="GP44" i="1" s="1"/>
  <c r="CJ30" i="1"/>
  <c r="BA50" i="1"/>
  <c r="CY126" i="1"/>
  <c r="X126" i="1" s="1"/>
  <c r="AF149" i="1"/>
  <c r="CZ126" i="1"/>
  <c r="Y126" i="1" s="1"/>
  <c r="F101" i="1"/>
  <c r="AP82" i="1"/>
  <c r="GM146" i="1"/>
  <c r="GP146" i="1" s="1"/>
  <c r="CP320" i="1"/>
  <c r="O320" i="1" s="1"/>
  <c r="GM320" i="1" s="1"/>
  <c r="GP320" i="1" s="1"/>
  <c r="CP317" i="1"/>
  <c r="O317" i="1" s="1"/>
  <c r="GM317" i="1" s="1"/>
  <c r="GP317" i="1" s="1"/>
  <c r="AS124" i="1"/>
  <c r="F166" i="1"/>
  <c r="AC529" i="1"/>
  <c r="AE529" i="1"/>
  <c r="GM522" i="1"/>
  <c r="GP522" i="1" s="1"/>
  <c r="CB501" i="1"/>
  <c r="AS529" i="1"/>
  <c r="GM700" i="1"/>
  <c r="GP700" i="1" s="1"/>
  <c r="AE727" i="1"/>
  <c r="S426" i="1"/>
  <c r="AF405" i="1"/>
  <c r="GM655" i="1"/>
  <c r="GP655" i="1" s="1"/>
  <c r="AH501" i="1"/>
  <c r="U529" i="1"/>
  <c r="AK665" i="1"/>
  <c r="BC591" i="1"/>
  <c r="F773" i="1"/>
  <c r="F689" i="1"/>
  <c r="W650" i="1"/>
  <c r="AG405" i="1"/>
  <c r="T426" i="1"/>
  <c r="X238" i="1"/>
  <c r="AK215" i="1"/>
  <c r="CY333" i="1"/>
  <c r="X333" i="1" s="1"/>
  <c r="CZ333" i="1"/>
  <c r="Y333" i="1" s="1"/>
  <c r="AC426" i="1"/>
  <c r="CP409" i="1"/>
  <c r="O409" i="1" s="1"/>
  <c r="AD650" i="1"/>
  <c r="Q665" i="1"/>
  <c r="AX92" i="1"/>
  <c r="CG82" i="1"/>
  <c r="CC215" i="1"/>
  <c r="AT238" i="1"/>
  <c r="GM230" i="1"/>
  <c r="GP230" i="1" s="1"/>
  <c r="S618" i="1"/>
  <c r="AF595" i="1"/>
  <c r="GM275" i="1"/>
  <c r="GP275" i="1" s="1"/>
  <c r="CP601" i="1"/>
  <c r="O601" i="1" s="1"/>
  <c r="GM715" i="1"/>
  <c r="GP715" i="1" s="1"/>
  <c r="AZ727" i="1"/>
  <c r="CI697" i="1"/>
  <c r="CB30" i="1"/>
  <c r="AS50" i="1"/>
  <c r="CZ85" i="1"/>
  <c r="Y85" i="1" s="1"/>
  <c r="AL92" i="1" s="1"/>
  <c r="CY85" i="1"/>
  <c r="X85" i="1" s="1"/>
  <c r="CP223" i="1"/>
  <c r="O223" i="1" s="1"/>
  <c r="GM223" i="1" s="1"/>
  <c r="GP223" i="1" s="1"/>
  <c r="AZ92" i="1"/>
  <c r="CI82" i="1"/>
  <c r="CY139" i="1"/>
  <c r="X139" i="1" s="1"/>
  <c r="CZ139" i="1"/>
  <c r="Y139" i="1" s="1"/>
  <c r="CZ140" i="1"/>
  <c r="Y140" i="1" s="1"/>
  <c r="CY140" i="1"/>
  <c r="X140" i="1" s="1"/>
  <c r="CJ270" i="1"/>
  <c r="BA279" i="1"/>
  <c r="CP229" i="1"/>
  <c r="O229" i="1" s="1"/>
  <c r="GM229" i="1" s="1"/>
  <c r="GP229" i="1" s="1"/>
  <c r="CI270" i="1"/>
  <c r="AZ279" i="1"/>
  <c r="CP313" i="1"/>
  <c r="O313" i="1" s="1"/>
  <c r="AC339" i="1"/>
  <c r="AF50" i="1"/>
  <c r="CY321" i="1"/>
  <c r="X321" i="1" s="1"/>
  <c r="GM321" i="1" s="1"/>
  <c r="GP321" i="1" s="1"/>
  <c r="CZ321" i="1"/>
  <c r="Y321" i="1" s="1"/>
  <c r="CP330" i="1"/>
  <c r="O330" i="1" s="1"/>
  <c r="GM420" i="1"/>
  <c r="GP420" i="1" s="1"/>
  <c r="AI405" i="1"/>
  <c r="V426" i="1"/>
  <c r="AQ270" i="1"/>
  <c r="F289" i="1"/>
  <c r="CZ615" i="1"/>
  <c r="Y615" i="1" s="1"/>
  <c r="CY615" i="1"/>
  <c r="X615" i="1" s="1"/>
  <c r="AT665" i="1"/>
  <c r="CC650" i="1"/>
  <c r="GM526" i="1"/>
  <c r="GP526" i="1" s="1"/>
  <c r="CP520" i="1"/>
  <c r="O520" i="1" s="1"/>
  <c r="AL426" i="1"/>
  <c r="F538" i="1"/>
  <c r="AP501" i="1"/>
  <c r="CZ276" i="1"/>
  <c r="Y276" i="1" s="1"/>
  <c r="CY276" i="1"/>
  <c r="X276" i="1" s="1"/>
  <c r="BB401" i="1"/>
  <c r="F572" i="1"/>
  <c r="CY509" i="1"/>
  <c r="X509" i="1" s="1"/>
  <c r="GM509" i="1" s="1"/>
  <c r="GP509" i="1" s="1"/>
  <c r="CZ509" i="1"/>
  <c r="Y509" i="1" s="1"/>
  <c r="AG270" i="1"/>
  <c r="T279" i="1"/>
  <c r="AH82" i="1"/>
  <c r="U92" i="1"/>
  <c r="CP47" i="1"/>
  <c r="O47" i="1" s="1"/>
  <c r="AO215" i="1"/>
  <c r="F242" i="1"/>
  <c r="AO369" i="1"/>
  <c r="CP143" i="1"/>
  <c r="O143" i="1" s="1"/>
  <c r="AQ238" i="1"/>
  <c r="CG238" i="1"/>
  <c r="BZ215" i="1"/>
  <c r="AO124" i="1"/>
  <c r="F153" i="1"/>
  <c r="AL279" i="1"/>
  <c r="AL50" i="1"/>
  <c r="GM315" i="1"/>
  <c r="GP315" i="1" s="1"/>
  <c r="BZ311" i="1"/>
  <c r="AQ339" i="1"/>
  <c r="CG339" i="1"/>
  <c r="CP410" i="1"/>
  <c r="O410" i="1" s="1"/>
  <c r="AH405" i="1"/>
  <c r="U426" i="1"/>
  <c r="F348" i="1"/>
  <c r="AP311" i="1"/>
  <c r="CG270" i="1"/>
  <c r="AX279" i="1"/>
  <c r="GM512" i="1"/>
  <c r="GP512" i="1" s="1"/>
  <c r="AO501" i="1"/>
  <c r="F533" i="1"/>
  <c r="CI405" i="1"/>
  <c r="AZ426" i="1"/>
  <c r="AK426" i="1"/>
  <c r="CI529" i="1"/>
  <c r="AE469" i="1"/>
  <c r="GM703" i="1"/>
  <c r="GP703" i="1" s="1"/>
  <c r="GM725" i="1"/>
  <c r="GP725" i="1" s="1"/>
  <c r="I369" i="7" l="1"/>
  <c r="I272" i="7"/>
  <c r="I75" i="7"/>
  <c r="I700" i="7"/>
  <c r="I751" i="7"/>
  <c r="K751" i="7" s="1"/>
  <c r="I68" i="7"/>
  <c r="I720" i="7"/>
  <c r="K720" i="7" s="1"/>
  <c r="I742" i="7"/>
  <c r="I711" i="7"/>
  <c r="P711" i="7" s="1"/>
  <c r="I297" i="7"/>
  <c r="K297" i="7" s="1"/>
  <c r="P757" i="8"/>
  <c r="L757" i="8"/>
  <c r="K855" i="7"/>
  <c r="P855" i="7"/>
  <c r="P303" i="8"/>
  <c r="L303" i="8"/>
  <c r="L96" i="8"/>
  <c r="P96" i="8"/>
  <c r="K555" i="7"/>
  <c r="P555" i="7"/>
  <c r="L81" i="8"/>
  <c r="P81" i="8"/>
  <c r="K272" i="7"/>
  <c r="P272" i="7"/>
  <c r="P441" i="7"/>
  <c r="K441" i="7"/>
  <c r="L405" i="8"/>
  <c r="P405" i="8"/>
  <c r="L782" i="8"/>
  <c r="P782" i="8"/>
  <c r="P197" i="8"/>
  <c r="L197" i="8"/>
  <c r="L741" i="8"/>
  <c r="P741" i="8"/>
  <c r="P839" i="7"/>
  <c r="K839" i="7"/>
  <c r="P720" i="7"/>
  <c r="L845" i="8"/>
  <c r="P845" i="8"/>
  <c r="L726" i="8"/>
  <c r="P726" i="8"/>
  <c r="P861" i="8"/>
  <c r="L861" i="8"/>
  <c r="K617" i="7"/>
  <c r="P617" i="7"/>
  <c r="L421" i="8"/>
  <c r="P421" i="8"/>
  <c r="P717" i="8"/>
  <c r="L717" i="8"/>
  <c r="L623" i="8"/>
  <c r="P623" i="8"/>
  <c r="AK501" i="1"/>
  <c r="X529" i="1"/>
  <c r="P297" i="7"/>
  <c r="L278" i="8"/>
  <c r="P278" i="8"/>
  <c r="P369" i="7"/>
  <c r="K369" i="7"/>
  <c r="AI311" i="1"/>
  <c r="T257" i="8"/>
  <c r="K264" i="8" s="1"/>
  <c r="T251" i="7"/>
  <c r="J258" i="7" s="1"/>
  <c r="I261" i="7" s="1"/>
  <c r="J106" i="8"/>
  <c r="P183" i="7"/>
  <c r="K183" i="7"/>
  <c r="P609" i="7"/>
  <c r="K609" i="7"/>
  <c r="K58" i="8"/>
  <c r="J52" i="7"/>
  <c r="P572" i="7"/>
  <c r="K572" i="7"/>
  <c r="J607" i="8"/>
  <c r="P224" i="7"/>
  <c r="K224" i="7"/>
  <c r="J354" i="8"/>
  <c r="I548" i="7"/>
  <c r="T406" i="8"/>
  <c r="K411" i="8" s="1"/>
  <c r="T400" i="7"/>
  <c r="J405" i="7" s="1"/>
  <c r="I514" i="7"/>
  <c r="GM325" i="1"/>
  <c r="GP325" i="1" s="1"/>
  <c r="GK410" i="1"/>
  <c r="K489" i="8"/>
  <c r="J483" i="7"/>
  <c r="R846" i="8"/>
  <c r="K850" i="8" s="1"/>
  <c r="J853" i="8" s="1"/>
  <c r="R840" i="7"/>
  <c r="J844" i="7" s="1"/>
  <c r="I47" i="7"/>
  <c r="GK34" i="1"/>
  <c r="GM34" i="1" s="1"/>
  <c r="K47" i="8"/>
  <c r="J41" i="7"/>
  <c r="L578" i="8"/>
  <c r="P578" i="8"/>
  <c r="L561" i="8"/>
  <c r="P561" i="8"/>
  <c r="I766" i="7"/>
  <c r="P397" i="8"/>
  <c r="L397" i="8"/>
  <c r="T496" i="8"/>
  <c r="K502" i="8" s="1"/>
  <c r="T490" i="7"/>
  <c r="J496" i="7" s="1"/>
  <c r="T727" i="8"/>
  <c r="K731" i="8" s="1"/>
  <c r="T721" i="7"/>
  <c r="J725" i="7" s="1"/>
  <c r="P520" i="8"/>
  <c r="L520" i="8"/>
  <c r="AE426" i="1"/>
  <c r="T206" i="7"/>
  <c r="J213" i="7" s="1"/>
  <c r="T212" i="8"/>
  <c r="K219" i="8" s="1"/>
  <c r="J222" i="8" s="1"/>
  <c r="AL529" i="1"/>
  <c r="AL501" i="1" s="1"/>
  <c r="T167" i="8"/>
  <c r="K172" i="8" s="1"/>
  <c r="T161" i="7"/>
  <c r="J166" i="7" s="1"/>
  <c r="R175" i="8"/>
  <c r="K178" i="8" s="1"/>
  <c r="J181" i="8" s="1"/>
  <c r="R169" i="7"/>
  <c r="J172" i="7" s="1"/>
  <c r="GK318" i="1"/>
  <c r="K380" i="8"/>
  <c r="J374" i="7"/>
  <c r="AE665" i="1"/>
  <c r="K766" i="8"/>
  <c r="J760" i="7"/>
  <c r="GK652" i="1"/>
  <c r="GM652" i="1" s="1"/>
  <c r="GP652" i="1" s="1"/>
  <c r="CD665" i="1" s="1"/>
  <c r="P375" i="8"/>
  <c r="L375" i="8"/>
  <c r="P748" i="8"/>
  <c r="L748" i="8"/>
  <c r="P107" i="7"/>
  <c r="K107" i="7"/>
  <c r="J74" i="8"/>
  <c r="I584" i="7"/>
  <c r="I320" i="7"/>
  <c r="AQ30" i="1"/>
  <c r="AQ179" i="1"/>
  <c r="F60" i="1"/>
  <c r="J211" i="8"/>
  <c r="K478" i="8"/>
  <c r="J472" i="7"/>
  <c r="GK409" i="1"/>
  <c r="P68" i="7"/>
  <c r="K68" i="7"/>
  <c r="GM601" i="1"/>
  <c r="GP601" i="1" s="1"/>
  <c r="GM605" i="1"/>
  <c r="GP605" i="1" s="1"/>
  <c r="T175" i="8"/>
  <c r="K179" i="8" s="1"/>
  <c r="T169" i="7"/>
  <c r="J173" i="7" s="1"/>
  <c r="BA149" i="1"/>
  <c r="P415" i="7"/>
  <c r="K415" i="7"/>
  <c r="P735" i="7"/>
  <c r="K735" i="7"/>
  <c r="P649" i="8"/>
  <c r="L649" i="8"/>
  <c r="P90" i="7"/>
  <c r="K90" i="7"/>
  <c r="J512" i="8"/>
  <c r="P742" i="7"/>
  <c r="K742" i="7"/>
  <c r="P422" i="7"/>
  <c r="K422" i="7"/>
  <c r="L326" i="8"/>
  <c r="P326" i="8"/>
  <c r="J505" i="8"/>
  <c r="P820" i="7"/>
  <c r="K820" i="7"/>
  <c r="J733" i="8"/>
  <c r="GM140" i="1"/>
  <c r="GP140" i="1" s="1"/>
  <c r="R212" i="8"/>
  <c r="K218" i="8" s="1"/>
  <c r="R206" i="7"/>
  <c r="J212" i="7" s="1"/>
  <c r="I216" i="7" s="1"/>
  <c r="AK727" i="1"/>
  <c r="R804" i="8"/>
  <c r="K808" i="8" s="1"/>
  <c r="R798" i="7"/>
  <c r="J802" i="7" s="1"/>
  <c r="R167" i="8"/>
  <c r="K171" i="8" s="1"/>
  <c r="R161" i="7"/>
  <c r="J165" i="7" s="1"/>
  <c r="I168" i="7" s="1"/>
  <c r="R97" i="8"/>
  <c r="K102" i="8" s="1"/>
  <c r="R91" i="7"/>
  <c r="J96" i="7" s="1"/>
  <c r="K679" i="8"/>
  <c r="J673" i="7"/>
  <c r="GM232" i="1"/>
  <c r="GP232" i="1" s="1"/>
  <c r="AL727" i="1"/>
  <c r="T804" i="8"/>
  <c r="K809" i="8" s="1"/>
  <c r="T798" i="7"/>
  <c r="J803" i="7" s="1"/>
  <c r="GM139" i="1"/>
  <c r="GP139" i="1" s="1"/>
  <c r="R562" i="8"/>
  <c r="K567" i="8" s="1"/>
  <c r="R556" i="7"/>
  <c r="J561" i="7" s="1"/>
  <c r="GM273" i="1"/>
  <c r="GP273" i="1" s="1"/>
  <c r="T533" i="8"/>
  <c r="K540" i="8" s="1"/>
  <c r="T527" i="7"/>
  <c r="J534" i="7" s="1"/>
  <c r="I643" i="7"/>
  <c r="I360" i="7"/>
  <c r="R506" i="8"/>
  <c r="K509" i="8" s="1"/>
  <c r="R500" i="7"/>
  <c r="J503" i="7" s="1"/>
  <c r="I506" i="7" s="1"/>
  <c r="J811" i="8"/>
  <c r="I863" i="7"/>
  <c r="P289" i="7"/>
  <c r="K289" i="7"/>
  <c r="R376" i="8"/>
  <c r="K382" i="8" s="1"/>
  <c r="J386" i="8" s="1"/>
  <c r="R370" i="7"/>
  <c r="J376" i="7" s="1"/>
  <c r="T485" i="8"/>
  <c r="K492" i="8" s="1"/>
  <c r="J495" i="8" s="1"/>
  <c r="T479" i="7"/>
  <c r="J486" i="7" s="1"/>
  <c r="I489" i="7" s="1"/>
  <c r="I788" i="7"/>
  <c r="P428" i="8"/>
  <c r="L428" i="8"/>
  <c r="GM324" i="1"/>
  <c r="GP324" i="1" s="1"/>
  <c r="L189" i="8"/>
  <c r="P189" i="8"/>
  <c r="R496" i="8"/>
  <c r="K501" i="8" s="1"/>
  <c r="R490" i="7"/>
  <c r="J495" i="7" s="1"/>
  <c r="R727" i="8"/>
  <c r="K730" i="8" s="1"/>
  <c r="R721" i="7"/>
  <c r="J724" i="7" s="1"/>
  <c r="T521" i="8"/>
  <c r="K525" i="8" s="1"/>
  <c r="T515" i="7"/>
  <c r="J519" i="7" s="1"/>
  <c r="P113" i="8"/>
  <c r="L113" i="8"/>
  <c r="P794" i="8"/>
  <c r="L794" i="8"/>
  <c r="T327" i="8"/>
  <c r="K334" i="8" s="1"/>
  <c r="T321" i="7"/>
  <c r="J328" i="7" s="1"/>
  <c r="P282" i="7"/>
  <c r="K282" i="7"/>
  <c r="P75" i="7"/>
  <c r="K75" i="7"/>
  <c r="I797" i="7"/>
  <c r="J657" i="8"/>
  <c r="GM318" i="1"/>
  <c r="GP318" i="1" s="1"/>
  <c r="GK273" i="1"/>
  <c r="K331" i="8"/>
  <c r="J325" i="7"/>
  <c r="J288" i="8"/>
  <c r="GM720" i="1"/>
  <c r="GP720" i="1" s="1"/>
  <c r="T846" i="8"/>
  <c r="K851" i="8" s="1"/>
  <c r="T840" i="7"/>
  <c r="J845" i="7" s="1"/>
  <c r="AK149" i="1"/>
  <c r="R151" i="8"/>
  <c r="K154" i="8" s="1"/>
  <c r="J157" i="8" s="1"/>
  <c r="R145" i="7"/>
  <c r="J148" i="7" s="1"/>
  <c r="P191" i="7"/>
  <c r="K191" i="7"/>
  <c r="P230" i="8"/>
  <c r="L230" i="8"/>
  <c r="AE238" i="1"/>
  <c r="R533" i="8"/>
  <c r="K539" i="8" s="1"/>
  <c r="R527" i="7"/>
  <c r="J533" i="7" s="1"/>
  <c r="I232" i="7"/>
  <c r="T82" i="8"/>
  <c r="K87" i="8" s="1"/>
  <c r="T76" i="7"/>
  <c r="J81" i="7" s="1"/>
  <c r="AE618" i="1"/>
  <c r="AE595" i="1" s="1"/>
  <c r="R591" i="8"/>
  <c r="K596" i="8" s="1"/>
  <c r="J599" i="8" s="1"/>
  <c r="R585" i="7"/>
  <c r="J590" i="7" s="1"/>
  <c r="I593" i="7" s="1"/>
  <c r="J238" i="8"/>
  <c r="I198" i="7"/>
  <c r="T686" i="8"/>
  <c r="K692" i="8" s="1"/>
  <c r="J695" i="8" s="1"/>
  <c r="T680" i="7"/>
  <c r="J686" i="7" s="1"/>
  <c r="I689" i="7" s="1"/>
  <c r="P706" i="8"/>
  <c r="L706" i="8"/>
  <c r="I659" i="7"/>
  <c r="GK90" i="1"/>
  <c r="GM90" i="1" s="1"/>
  <c r="GP90" i="1" s="1"/>
  <c r="AE92" i="1"/>
  <c r="I240" i="7"/>
  <c r="J803" i="8"/>
  <c r="J174" i="8"/>
  <c r="P826" i="8"/>
  <c r="L826" i="8"/>
  <c r="I651" i="7"/>
  <c r="I160" i="7"/>
  <c r="GK601" i="1"/>
  <c r="K700" i="8"/>
  <c r="J694" i="7"/>
  <c r="J527" i="8"/>
  <c r="GM410" i="1"/>
  <c r="GP410" i="1" s="1"/>
  <c r="GM143" i="1"/>
  <c r="GP143" i="1" s="1"/>
  <c r="GM615" i="1"/>
  <c r="GP615" i="1" s="1"/>
  <c r="AK50" i="1"/>
  <c r="R82" i="8"/>
  <c r="K86" i="8" s="1"/>
  <c r="J89" i="8" s="1"/>
  <c r="R76" i="7"/>
  <c r="J80" i="7" s="1"/>
  <c r="GK597" i="1"/>
  <c r="GM597" i="1" s="1"/>
  <c r="I679" i="7"/>
  <c r="P204" i="8"/>
  <c r="L204" i="8"/>
  <c r="J463" i="8"/>
  <c r="J665" i="8"/>
  <c r="J246" i="8"/>
  <c r="R456" i="8"/>
  <c r="K460" i="8" s="1"/>
  <c r="R450" i="7"/>
  <c r="J454" i="7" s="1"/>
  <c r="I457" i="7" s="1"/>
  <c r="I391" i="7"/>
  <c r="I478" i="7"/>
  <c r="R631" i="8"/>
  <c r="K637" i="8" s="1"/>
  <c r="R625" i="7"/>
  <c r="J631" i="7" s="1"/>
  <c r="J543" i="8"/>
  <c r="R521" i="8"/>
  <c r="K524" i="8" s="1"/>
  <c r="R515" i="7"/>
  <c r="J518" i="7" s="1"/>
  <c r="T624" i="8"/>
  <c r="K628" i="8" s="1"/>
  <c r="T618" i="7"/>
  <c r="J622" i="7" s="1"/>
  <c r="P554" i="8"/>
  <c r="L554" i="8"/>
  <c r="L447" i="8"/>
  <c r="P447" i="8"/>
  <c r="AE149" i="1"/>
  <c r="P700" i="7"/>
  <c r="K700" i="7"/>
  <c r="T812" i="8"/>
  <c r="K817" i="8" s="1"/>
  <c r="T806" i="7"/>
  <c r="J811" i="7" s="1"/>
  <c r="GM132" i="1"/>
  <c r="GP132" i="1" s="1"/>
  <c r="Q92" i="1"/>
  <c r="F104" i="1" s="1"/>
  <c r="L685" i="8"/>
  <c r="P685" i="8"/>
  <c r="F57" i="1"/>
  <c r="AX30" i="1"/>
  <c r="GK465" i="1"/>
  <c r="K566" i="8"/>
  <c r="J560" i="7"/>
  <c r="I58" i="7"/>
  <c r="R327" i="8"/>
  <c r="K333" i="8" s="1"/>
  <c r="J337" i="8" s="1"/>
  <c r="R321" i="7"/>
  <c r="J327" i="7" s="1"/>
  <c r="I331" i="7" s="1"/>
  <c r="T429" i="8"/>
  <c r="K436" i="8" s="1"/>
  <c r="J439" i="8" s="1"/>
  <c r="T423" i="7"/>
  <c r="J430" i="7" s="1"/>
  <c r="T442" i="7"/>
  <c r="J447" i="7" s="1"/>
  <c r="T448" i="8"/>
  <c r="K453" i="8" s="1"/>
  <c r="J484" i="8"/>
  <c r="L295" i="8"/>
  <c r="P295" i="8"/>
  <c r="T376" i="8"/>
  <c r="K383" i="8" s="1"/>
  <c r="T370" i="7"/>
  <c r="J377" i="7" s="1"/>
  <c r="J366" i="8"/>
  <c r="P869" i="8"/>
  <c r="L869" i="8"/>
  <c r="R129" i="8"/>
  <c r="K134" i="8" s="1"/>
  <c r="R123" i="7"/>
  <c r="J128" i="7" s="1"/>
  <c r="T129" i="8"/>
  <c r="K135" i="8" s="1"/>
  <c r="T123" i="7"/>
  <c r="J129" i="7" s="1"/>
  <c r="R812" i="8"/>
  <c r="K816" i="8" s="1"/>
  <c r="J819" i="8" s="1"/>
  <c r="R806" i="7"/>
  <c r="J810" i="7" s="1"/>
  <c r="GM514" i="1"/>
  <c r="GP514" i="1" s="1"/>
  <c r="I831" i="7"/>
  <c r="L166" i="8"/>
  <c r="P166" i="8"/>
  <c r="I139" i="7"/>
  <c r="J64" i="8"/>
  <c r="J615" i="8"/>
  <c r="GM45" i="1"/>
  <c r="GP45" i="1" s="1"/>
  <c r="R429" i="8"/>
  <c r="K435" i="8" s="1"/>
  <c r="R423" i="7"/>
  <c r="J429" i="7" s="1"/>
  <c r="J53" i="8"/>
  <c r="GK520" i="1"/>
  <c r="GM520" i="1" s="1"/>
  <c r="K635" i="8"/>
  <c r="J629" i="7"/>
  <c r="GK277" i="1"/>
  <c r="GM277" i="1" s="1"/>
  <c r="GP277" i="1" s="1"/>
  <c r="K349" i="8"/>
  <c r="J343" i="7"/>
  <c r="I304" i="7"/>
  <c r="T456" i="8"/>
  <c r="K461" i="8" s="1"/>
  <c r="T450" i="7"/>
  <c r="J455" i="7" s="1"/>
  <c r="J138" i="8"/>
  <c r="AS311" i="1"/>
  <c r="F356" i="1"/>
  <c r="T562" i="8"/>
  <c r="K568" i="8" s="1"/>
  <c r="J571" i="8" s="1"/>
  <c r="T556" i="7"/>
  <c r="J562" i="7" s="1"/>
  <c r="I565" i="7" s="1"/>
  <c r="R338" i="8"/>
  <c r="K341" i="8" s="1"/>
  <c r="R332" i="7"/>
  <c r="J335" i="7" s="1"/>
  <c r="BB591" i="1"/>
  <c r="AB618" i="1"/>
  <c r="AK92" i="1"/>
  <c r="F668" i="1"/>
  <c r="AE50" i="1"/>
  <c r="J266" i="7"/>
  <c r="K272" i="8"/>
  <c r="J837" i="8"/>
  <c r="T97" i="8"/>
  <c r="K103" i="8" s="1"/>
  <c r="T91" i="7"/>
  <c r="J97" i="7" s="1"/>
  <c r="F444" i="1"/>
  <c r="AT405" i="1"/>
  <c r="J145" i="8"/>
  <c r="R624" i="8"/>
  <c r="K627" i="8" s="1"/>
  <c r="J630" i="8" s="1"/>
  <c r="R618" i="7"/>
  <c r="J621" i="7" s="1"/>
  <c r="I624" i="7" s="1"/>
  <c r="GM412" i="1"/>
  <c r="GP412" i="1" s="1"/>
  <c r="I122" i="7"/>
  <c r="GK219" i="1"/>
  <c r="GM219" i="1" s="1"/>
  <c r="CA238" i="1" s="1"/>
  <c r="K261" i="8"/>
  <c r="J255" i="7"/>
  <c r="J310" i="8"/>
  <c r="T631" i="8"/>
  <c r="K638" i="8" s="1"/>
  <c r="J641" i="8" s="1"/>
  <c r="T625" i="7"/>
  <c r="J632" i="7" s="1"/>
  <c r="GK330" i="1"/>
  <c r="GM330" i="1" s="1"/>
  <c r="GP330" i="1" s="1"/>
  <c r="K433" i="8"/>
  <c r="J427" i="7"/>
  <c r="T338" i="8"/>
  <c r="K342" i="8" s="1"/>
  <c r="J344" i="8" s="1"/>
  <c r="T332" i="7"/>
  <c r="J336" i="7" s="1"/>
  <c r="T151" i="8"/>
  <c r="K155" i="8" s="1"/>
  <c r="T145" i="7"/>
  <c r="J149" i="7" s="1"/>
  <c r="GM85" i="1"/>
  <c r="GP85" i="1" s="1"/>
  <c r="P399" i="7"/>
  <c r="K399" i="7"/>
  <c r="J267" i="8"/>
  <c r="I100" i="7"/>
  <c r="GK716" i="1"/>
  <c r="GM716" i="1" s="1"/>
  <c r="GP716" i="1" s="1"/>
  <c r="K831" i="8"/>
  <c r="J825" i="7"/>
  <c r="I205" i="7"/>
  <c r="J772" i="8"/>
  <c r="J590" i="8"/>
  <c r="I601" i="7"/>
  <c r="J128" i="8"/>
  <c r="I348" i="7"/>
  <c r="R442" i="7"/>
  <c r="J446" i="7" s="1"/>
  <c r="I449" i="7" s="1"/>
  <c r="R448" i="8"/>
  <c r="K452" i="8" s="1"/>
  <c r="I813" i="7"/>
  <c r="GK319" i="1"/>
  <c r="GM319" i="1" s="1"/>
  <c r="GP319" i="1" s="1"/>
  <c r="K391" i="8"/>
  <c r="J385" i="7"/>
  <c r="K320" i="8"/>
  <c r="J314" i="7"/>
  <c r="I776" i="7"/>
  <c r="R406" i="8"/>
  <c r="K410" i="8" s="1"/>
  <c r="J413" i="8" s="1"/>
  <c r="R400" i="7"/>
  <c r="J404" i="7" s="1"/>
  <c r="I175" i="7"/>
  <c r="AK697" i="1"/>
  <c r="X727" i="1"/>
  <c r="AL697" i="1"/>
  <c r="Y727" i="1"/>
  <c r="X50" i="1"/>
  <c r="AK30" i="1"/>
  <c r="GP597" i="1"/>
  <c r="AZ311" i="1"/>
  <c r="F350" i="1"/>
  <c r="AK124" i="1"/>
  <c r="X149" i="1"/>
  <c r="AC270" i="1"/>
  <c r="CH279" i="1"/>
  <c r="P279" i="1"/>
  <c r="CE279" i="1"/>
  <c r="CF279" i="1"/>
  <c r="AE270" i="1"/>
  <c r="R279" i="1"/>
  <c r="W559" i="1"/>
  <c r="F450" i="1"/>
  <c r="W405" i="1"/>
  <c r="F625" i="1"/>
  <c r="AX595" i="1"/>
  <c r="AX757" i="1"/>
  <c r="AP30" i="1"/>
  <c r="AP179" i="1"/>
  <c r="F59" i="1"/>
  <c r="Y529" i="1"/>
  <c r="P50" i="1"/>
  <c r="CE50" i="1"/>
  <c r="CF50" i="1"/>
  <c r="CH50" i="1"/>
  <c r="AC30" i="1"/>
  <c r="AB529" i="1"/>
  <c r="GM710" i="1"/>
  <c r="GP710" i="1" s="1"/>
  <c r="BD211" i="1"/>
  <c r="F394" i="1"/>
  <c r="BD787" i="1"/>
  <c r="GP34" i="1"/>
  <c r="AX501" i="1"/>
  <c r="F536" i="1"/>
  <c r="AZ215" i="1"/>
  <c r="F249" i="1"/>
  <c r="AZ369" i="1"/>
  <c r="CI501" i="1"/>
  <c r="AZ529" i="1"/>
  <c r="T270" i="1"/>
  <c r="F300" i="1"/>
  <c r="F683" i="1"/>
  <c r="AT650" i="1"/>
  <c r="AS501" i="1"/>
  <c r="F546" i="1"/>
  <c r="F70" i="1"/>
  <c r="BA30" i="1"/>
  <c r="BA179" i="1"/>
  <c r="AB279" i="1"/>
  <c r="GM272" i="1"/>
  <c r="F68" i="1"/>
  <c r="AT30" i="1"/>
  <c r="AT179" i="1"/>
  <c r="F294" i="1"/>
  <c r="S270" i="1"/>
  <c r="F156" i="1"/>
  <c r="AX124" i="1"/>
  <c r="AZ50" i="1"/>
  <c r="CI30" i="1"/>
  <c r="GM133" i="1"/>
  <c r="GP133" i="1" s="1"/>
  <c r="W270" i="1"/>
  <c r="F303" i="1"/>
  <c r="X501" i="1"/>
  <c r="F555" i="1"/>
  <c r="AB650" i="1"/>
  <c r="O665" i="1"/>
  <c r="GP503" i="1"/>
  <c r="AB50" i="1"/>
  <c r="F113" i="1"/>
  <c r="T82" i="1"/>
  <c r="F549" i="1"/>
  <c r="BA501" i="1"/>
  <c r="T595" i="1"/>
  <c r="F639" i="1"/>
  <c r="T757" i="1"/>
  <c r="AE458" i="1"/>
  <c r="R469" i="1"/>
  <c r="AK405" i="1"/>
  <c r="X426" i="1"/>
  <c r="BA270" i="1"/>
  <c r="F299" i="1"/>
  <c r="X215" i="1"/>
  <c r="F264" i="1"/>
  <c r="BD401" i="1"/>
  <c r="F584" i="1"/>
  <c r="AB469" i="1"/>
  <c r="GM460" i="1"/>
  <c r="W82" i="1"/>
  <c r="F116" i="1"/>
  <c r="AI124" i="1"/>
  <c r="V149" i="1"/>
  <c r="V179" i="1" s="1"/>
  <c r="F552" i="1"/>
  <c r="V501" i="1"/>
  <c r="F686" i="1"/>
  <c r="T650" i="1"/>
  <c r="BC211" i="1"/>
  <c r="F385" i="1"/>
  <c r="F492" i="1"/>
  <c r="V458" i="1"/>
  <c r="BA458" i="1"/>
  <c r="F489" i="1"/>
  <c r="F259" i="1"/>
  <c r="T215" i="1"/>
  <c r="T369" i="1"/>
  <c r="P458" i="1"/>
  <c r="F472" i="1"/>
  <c r="AS401" i="1"/>
  <c r="F576" i="1"/>
  <c r="AL30" i="1"/>
  <c r="Y50" i="1"/>
  <c r="F447" i="1"/>
  <c r="T405" i="1"/>
  <c r="T559" i="1"/>
  <c r="AT595" i="1"/>
  <c r="F636" i="1"/>
  <c r="AT757" i="1"/>
  <c r="R529" i="1"/>
  <c r="AE501" i="1"/>
  <c r="W30" i="1"/>
  <c r="F74" i="1"/>
  <c r="W179" i="1"/>
  <c r="W215" i="1"/>
  <c r="F262" i="1"/>
  <c r="W369" i="1"/>
  <c r="BA82" i="1"/>
  <c r="F112" i="1"/>
  <c r="GM333" i="1"/>
  <c r="GP333" i="1" s="1"/>
  <c r="AS595" i="1"/>
  <c r="AS757" i="1"/>
  <c r="F635" i="1"/>
  <c r="AZ595" i="1"/>
  <c r="F629" i="1"/>
  <c r="AZ757" i="1"/>
  <c r="F751" i="1"/>
  <c r="W697" i="1"/>
  <c r="U82" i="1"/>
  <c r="F114" i="1"/>
  <c r="F493" i="1"/>
  <c r="W458" i="1"/>
  <c r="Q30" i="1"/>
  <c r="F62" i="1"/>
  <c r="U124" i="1"/>
  <c r="F171" i="1"/>
  <c r="AX339" i="1"/>
  <c r="CG311" i="1"/>
  <c r="F539" i="1"/>
  <c r="AQ501" i="1"/>
  <c r="Y279" i="1"/>
  <c r="AL270" i="1"/>
  <c r="U618" i="1"/>
  <c r="AH595" i="1"/>
  <c r="Q339" i="1"/>
  <c r="AD311" i="1"/>
  <c r="AZ469" i="1"/>
  <c r="CI458" i="1"/>
  <c r="BB211" i="1"/>
  <c r="F382" i="1"/>
  <c r="S650" i="1"/>
  <c r="F680" i="1"/>
  <c r="AB149" i="1"/>
  <c r="AP211" i="1"/>
  <c r="F378" i="1"/>
  <c r="AQ591" i="1"/>
  <c r="F767" i="1"/>
  <c r="T124" i="1"/>
  <c r="F170" i="1"/>
  <c r="F161" i="1"/>
  <c r="Q124" i="1"/>
  <c r="W311" i="1"/>
  <c r="F363" i="1"/>
  <c r="AE215" i="1"/>
  <c r="R238" i="1"/>
  <c r="T458" i="1"/>
  <c r="F490" i="1"/>
  <c r="F641" i="1"/>
  <c r="V595" i="1"/>
  <c r="V757" i="1"/>
  <c r="F738" i="1"/>
  <c r="AZ697" i="1"/>
  <c r="BB26" i="1"/>
  <c r="F192" i="1"/>
  <c r="BB787" i="1"/>
  <c r="AL595" i="1"/>
  <c r="Y618" i="1"/>
  <c r="F256" i="1"/>
  <c r="AT215" i="1"/>
  <c r="AT369" i="1"/>
  <c r="AX270" i="1"/>
  <c r="F286" i="1"/>
  <c r="CG215" i="1"/>
  <c r="AX238" i="1"/>
  <c r="GM126" i="1"/>
  <c r="GM419" i="1"/>
  <c r="GP419" i="1" s="1"/>
  <c r="AX650" i="1"/>
  <c r="F672" i="1"/>
  <c r="GP84" i="1"/>
  <c r="CD92" i="1" s="1"/>
  <c r="CA92" i="1"/>
  <c r="AF458" i="1"/>
  <c r="S469" i="1"/>
  <c r="AL82" i="1"/>
  <c r="Y92" i="1"/>
  <c r="Q405" i="1"/>
  <c r="F438" i="1"/>
  <c r="Q559" i="1"/>
  <c r="BA697" i="1"/>
  <c r="F747" i="1"/>
  <c r="F553" i="1"/>
  <c r="W501" i="1"/>
  <c r="P595" i="1"/>
  <c r="F621" i="1"/>
  <c r="R727" i="1"/>
  <c r="AE697" i="1"/>
  <c r="AQ311" i="1"/>
  <c r="F349" i="1"/>
  <c r="AL469" i="1"/>
  <c r="BA559" i="1"/>
  <c r="V311" i="1"/>
  <c r="F362" i="1"/>
  <c r="AX82" i="1"/>
  <c r="F99" i="1"/>
  <c r="AX179" i="1"/>
  <c r="U501" i="1"/>
  <c r="F551" i="1"/>
  <c r="F291" i="1"/>
  <c r="Q270" i="1"/>
  <c r="V270" i="1"/>
  <c r="F302" i="1"/>
  <c r="R149" i="1"/>
  <c r="AE124" i="1"/>
  <c r="AX697" i="1"/>
  <c r="F734" i="1"/>
  <c r="AS211" i="1"/>
  <c r="F386" i="1"/>
  <c r="AK469" i="1"/>
  <c r="R50" i="1"/>
  <c r="AE30" i="1"/>
  <c r="U215" i="1"/>
  <c r="F260" i="1"/>
  <c r="U369" i="1"/>
  <c r="V215" i="1"/>
  <c r="V369" i="1"/>
  <c r="F261" i="1"/>
  <c r="AY618" i="1"/>
  <c r="CH595" i="1"/>
  <c r="AZ270" i="1"/>
  <c r="F290" i="1"/>
  <c r="AZ405" i="1"/>
  <c r="F437" i="1"/>
  <c r="AZ559" i="1"/>
  <c r="U311" i="1"/>
  <c r="F361" i="1"/>
  <c r="S595" i="1"/>
  <c r="F633" i="1"/>
  <c r="AK595" i="1"/>
  <c r="X618" i="1"/>
  <c r="AX469" i="1"/>
  <c r="CG458" i="1"/>
  <c r="F449" i="1"/>
  <c r="V405" i="1"/>
  <c r="V559" i="1"/>
  <c r="AL215" i="1"/>
  <c r="Y238" i="1"/>
  <c r="AC215" i="1"/>
  <c r="P238" i="1"/>
  <c r="CE238" i="1"/>
  <c r="CF238" i="1"/>
  <c r="CH238" i="1"/>
  <c r="F71" i="1"/>
  <c r="T30" i="1"/>
  <c r="T179" i="1"/>
  <c r="F103" i="1"/>
  <c r="AZ82" i="1"/>
  <c r="F739" i="1"/>
  <c r="Q697" i="1"/>
  <c r="AL311" i="1"/>
  <c r="Y339" i="1"/>
  <c r="F253" i="1"/>
  <c r="S215" i="1"/>
  <c r="S369" i="1"/>
  <c r="AB238" i="1"/>
  <c r="F354" i="1"/>
  <c r="S311" i="1"/>
  <c r="AP591" i="1"/>
  <c r="F766" i="1"/>
  <c r="F258" i="1"/>
  <c r="BA369" i="1"/>
  <c r="BA215" i="1"/>
  <c r="F491" i="1"/>
  <c r="U458" i="1"/>
  <c r="CF595" i="1"/>
  <c r="AW618" i="1"/>
  <c r="AF124" i="1"/>
  <c r="S149" i="1"/>
  <c r="F115" i="1"/>
  <c r="V82" i="1"/>
  <c r="AB595" i="1"/>
  <c r="O618" i="1"/>
  <c r="W591" i="1"/>
  <c r="F781" i="1"/>
  <c r="V697" i="1"/>
  <c r="F750" i="1"/>
  <c r="F72" i="1"/>
  <c r="U30" i="1"/>
  <c r="U179" i="1"/>
  <c r="S501" i="1"/>
  <c r="F544" i="1"/>
  <c r="AQ458" i="1"/>
  <c r="F479" i="1"/>
  <c r="X279" i="1"/>
  <c r="AK270" i="1"/>
  <c r="AW650" i="1"/>
  <c r="F671" i="1"/>
  <c r="GM465" i="1"/>
  <c r="GP465" i="1" s="1"/>
  <c r="AO211" i="1"/>
  <c r="F373" i="1"/>
  <c r="F677" i="1"/>
  <c r="Q650" i="1"/>
  <c r="CH458" i="1"/>
  <c r="AY469" i="1"/>
  <c r="U405" i="1"/>
  <c r="F448" i="1"/>
  <c r="U559" i="1"/>
  <c r="Y426" i="1"/>
  <c r="AL405" i="1"/>
  <c r="AF30" i="1"/>
  <c r="S50" i="1"/>
  <c r="F692" i="1"/>
  <c r="Y650" i="1"/>
  <c r="BC401" i="1"/>
  <c r="F575" i="1"/>
  <c r="AV650" i="1"/>
  <c r="F670" i="1"/>
  <c r="S82" i="1"/>
  <c r="F107" i="1"/>
  <c r="GM711" i="1"/>
  <c r="GP711" i="1" s="1"/>
  <c r="AT124" i="1"/>
  <c r="F167" i="1"/>
  <c r="F630" i="1"/>
  <c r="Q595" i="1"/>
  <c r="Q757" i="1"/>
  <c r="CE595" i="1"/>
  <c r="AV618" i="1"/>
  <c r="AF697" i="1"/>
  <c r="S727" i="1"/>
  <c r="S757" i="1" s="1"/>
  <c r="U697" i="1"/>
  <c r="F749" i="1"/>
  <c r="BC22" i="1"/>
  <c r="BC817" i="1"/>
  <c r="F803" i="1"/>
  <c r="CF529" i="1"/>
  <c r="AC501" i="1"/>
  <c r="CE529" i="1"/>
  <c r="P529" i="1"/>
  <c r="CH529" i="1"/>
  <c r="AC82" i="1"/>
  <c r="CE92" i="1"/>
  <c r="CF92" i="1"/>
  <c r="CH92" i="1"/>
  <c r="P92" i="1"/>
  <c r="AE311" i="1"/>
  <c r="R339" i="1"/>
  <c r="AO401" i="1"/>
  <c r="F563" i="1"/>
  <c r="BA591" i="1"/>
  <c r="F777" i="1"/>
  <c r="AT501" i="1"/>
  <c r="F547" i="1"/>
  <c r="AT559" i="1"/>
  <c r="AQ215" i="1"/>
  <c r="F248" i="1"/>
  <c r="AQ369" i="1"/>
  <c r="AK650" i="1"/>
  <c r="X665" i="1"/>
  <c r="T697" i="1"/>
  <c r="F748" i="1"/>
  <c r="AB92" i="1"/>
  <c r="BA311" i="1"/>
  <c r="F359" i="1"/>
  <c r="R426" i="1"/>
  <c r="AE405" i="1"/>
  <c r="CE339" i="1"/>
  <c r="AC311" i="1"/>
  <c r="CH339" i="1"/>
  <c r="P339" i="1"/>
  <c r="CF339" i="1"/>
  <c r="F67" i="1"/>
  <c r="AS30" i="1"/>
  <c r="AS179" i="1"/>
  <c r="GM409" i="1"/>
  <c r="AB426" i="1"/>
  <c r="AW469" i="1"/>
  <c r="CF458" i="1"/>
  <c r="F158" i="1"/>
  <c r="AP124" i="1"/>
  <c r="CE149" i="1"/>
  <c r="CH149" i="1"/>
  <c r="AC124" i="1"/>
  <c r="P149" i="1"/>
  <c r="CF149" i="1"/>
  <c r="CE727" i="1"/>
  <c r="CF727" i="1"/>
  <c r="CH727" i="1"/>
  <c r="P727" i="1"/>
  <c r="AC697" i="1"/>
  <c r="T501" i="1"/>
  <c r="F550" i="1"/>
  <c r="AZ650" i="1"/>
  <c r="F676" i="1"/>
  <c r="AD215" i="1"/>
  <c r="Q238" i="1"/>
  <c r="AY650" i="1"/>
  <c r="F673" i="1"/>
  <c r="GM128" i="1"/>
  <c r="GP128" i="1" s="1"/>
  <c r="AK311" i="1"/>
  <c r="X339" i="1"/>
  <c r="F297" i="1"/>
  <c r="AT270" i="1"/>
  <c r="AX405" i="1"/>
  <c r="F433" i="1"/>
  <c r="AX559" i="1"/>
  <c r="F360" i="1"/>
  <c r="T311" i="1"/>
  <c r="W124" i="1"/>
  <c r="F173" i="1"/>
  <c r="AO591" i="1"/>
  <c r="F761" i="1"/>
  <c r="GM47" i="1"/>
  <c r="GP47" i="1" s="1"/>
  <c r="AB339" i="1"/>
  <c r="GM313" i="1"/>
  <c r="P426" i="1"/>
  <c r="CH426" i="1"/>
  <c r="CF426" i="1"/>
  <c r="AC405" i="1"/>
  <c r="CE426" i="1"/>
  <c r="S405" i="1"/>
  <c r="F441" i="1"/>
  <c r="S559" i="1"/>
  <c r="AL149" i="1"/>
  <c r="AV469" i="1"/>
  <c r="CE458" i="1"/>
  <c r="CI124" i="1"/>
  <c r="AZ149" i="1"/>
  <c r="GM39" i="1"/>
  <c r="GP39" i="1" s="1"/>
  <c r="GM699" i="1"/>
  <c r="AB727" i="1"/>
  <c r="AO26" i="1"/>
  <c r="F183" i="1"/>
  <c r="AO787" i="1"/>
  <c r="AK82" i="1"/>
  <c r="X92" i="1"/>
  <c r="AQ559" i="1"/>
  <c r="F481" i="1"/>
  <c r="Q458" i="1"/>
  <c r="BA124" i="1"/>
  <c r="F169" i="1"/>
  <c r="F541" i="1"/>
  <c r="Q501" i="1"/>
  <c r="I635" i="7" l="1"/>
  <c r="K711" i="7"/>
  <c r="I407" i="7"/>
  <c r="P407" i="7" s="1"/>
  <c r="I151" i="7"/>
  <c r="I847" i="7"/>
  <c r="I132" i="7"/>
  <c r="P132" i="7" s="1"/>
  <c r="I433" i="7"/>
  <c r="I83" i="7"/>
  <c r="I727" i="7"/>
  <c r="I380" i="7"/>
  <c r="P380" i="7" s="1"/>
  <c r="I459" i="7" s="1"/>
  <c r="I499" i="7"/>
  <c r="P499" i="7" s="1"/>
  <c r="I805" i="7"/>
  <c r="P805" i="7" s="1"/>
  <c r="P751" i="7"/>
  <c r="L641" i="8"/>
  <c r="P641" i="8"/>
  <c r="P565" i="7"/>
  <c r="K565" i="7"/>
  <c r="L695" i="8"/>
  <c r="P695" i="8"/>
  <c r="P506" i="7"/>
  <c r="K506" i="7"/>
  <c r="P449" i="7"/>
  <c r="K449" i="7"/>
  <c r="K407" i="7"/>
  <c r="P819" i="8"/>
  <c r="L819" i="8"/>
  <c r="K261" i="7"/>
  <c r="P261" i="7"/>
  <c r="L413" i="8"/>
  <c r="P413" i="8"/>
  <c r="L599" i="8"/>
  <c r="P599" i="8"/>
  <c r="K151" i="7"/>
  <c r="P151" i="7"/>
  <c r="P489" i="7"/>
  <c r="K489" i="7"/>
  <c r="L181" i="8"/>
  <c r="P181" i="8"/>
  <c r="K847" i="7"/>
  <c r="P847" i="7"/>
  <c r="P571" i="8"/>
  <c r="L571" i="8"/>
  <c r="L495" i="8"/>
  <c r="P495" i="8"/>
  <c r="P853" i="8"/>
  <c r="L853" i="8"/>
  <c r="P89" i="8"/>
  <c r="L89" i="8"/>
  <c r="P433" i="7"/>
  <c r="K433" i="7"/>
  <c r="L344" i="8"/>
  <c r="P344" i="8"/>
  <c r="P439" i="8"/>
  <c r="L439" i="8"/>
  <c r="P386" i="8"/>
  <c r="L386" i="8"/>
  <c r="GP520" i="1"/>
  <c r="CA529" i="1"/>
  <c r="K331" i="7"/>
  <c r="P331" i="7"/>
  <c r="P222" i="8"/>
  <c r="L222" i="8"/>
  <c r="P630" i="8"/>
  <c r="L630" i="8"/>
  <c r="P337" i="8"/>
  <c r="J356" i="8" s="1"/>
  <c r="L337" i="8"/>
  <c r="P635" i="7"/>
  <c r="I661" i="7" s="1"/>
  <c r="K635" i="7"/>
  <c r="L366" i="8"/>
  <c r="P366" i="8"/>
  <c r="I521" i="7"/>
  <c r="GP219" i="1"/>
  <c r="CD238" i="1" s="1"/>
  <c r="CD529" i="1"/>
  <c r="CA50" i="1"/>
  <c r="CD618" i="1"/>
  <c r="L590" i="8"/>
  <c r="P590" i="8"/>
  <c r="P139" i="7"/>
  <c r="K139" i="7"/>
  <c r="P246" i="8"/>
  <c r="L246" i="8"/>
  <c r="P360" i="7"/>
  <c r="K360" i="7"/>
  <c r="P47" i="7"/>
  <c r="K47" i="7"/>
  <c r="P354" i="8"/>
  <c r="L354" i="8"/>
  <c r="K788" i="7"/>
  <c r="P788" i="7"/>
  <c r="P205" i="7"/>
  <c r="K205" i="7"/>
  <c r="K584" i="7"/>
  <c r="P584" i="7"/>
  <c r="P122" i="7"/>
  <c r="K122" i="7"/>
  <c r="P831" i="7"/>
  <c r="K831" i="7"/>
  <c r="P593" i="7"/>
  <c r="K593" i="7"/>
  <c r="P83" i="7"/>
  <c r="K83" i="7"/>
  <c r="K689" i="7"/>
  <c r="P689" i="7"/>
  <c r="K766" i="7"/>
  <c r="P766" i="7"/>
  <c r="L607" i="8"/>
  <c r="P607" i="8"/>
  <c r="Q179" i="1"/>
  <c r="L543" i="8"/>
  <c r="P543" i="8"/>
  <c r="J580" i="8" s="1"/>
  <c r="P659" i="7"/>
  <c r="K659" i="7"/>
  <c r="P727" i="7"/>
  <c r="K727" i="7"/>
  <c r="L505" i="8"/>
  <c r="P505" i="8"/>
  <c r="P837" i="8"/>
  <c r="L837" i="8"/>
  <c r="L665" i="8"/>
  <c r="P665" i="8"/>
  <c r="P733" i="8"/>
  <c r="L733" i="8"/>
  <c r="P106" i="8"/>
  <c r="L106" i="8"/>
  <c r="P527" i="8"/>
  <c r="L527" i="8"/>
  <c r="P797" i="7"/>
  <c r="K797" i="7"/>
  <c r="K813" i="7"/>
  <c r="P813" i="7"/>
  <c r="P138" i="8"/>
  <c r="L138" i="8"/>
  <c r="K58" i="7"/>
  <c r="P58" i="7"/>
  <c r="P457" i="7"/>
  <c r="K457" i="7"/>
  <c r="P232" i="7"/>
  <c r="K232" i="7"/>
  <c r="P168" i="7"/>
  <c r="K168" i="7"/>
  <c r="L74" i="8"/>
  <c r="P74" i="8"/>
  <c r="AE650" i="1"/>
  <c r="R665" i="1"/>
  <c r="AE82" i="1"/>
  <c r="R92" i="1"/>
  <c r="Q82" i="1"/>
  <c r="CA665" i="1"/>
  <c r="P100" i="7"/>
  <c r="K100" i="7"/>
  <c r="P624" i="7"/>
  <c r="K624" i="7"/>
  <c r="P53" i="8"/>
  <c r="L53" i="8"/>
  <c r="K679" i="7"/>
  <c r="P679" i="7"/>
  <c r="P160" i="7"/>
  <c r="K160" i="7"/>
  <c r="I537" i="7"/>
  <c r="L772" i="8"/>
  <c r="P772" i="8"/>
  <c r="J784" i="8" s="1"/>
  <c r="P512" i="8"/>
  <c r="L512" i="8"/>
  <c r="P175" i="7"/>
  <c r="K175" i="7"/>
  <c r="P267" i="8"/>
  <c r="L267" i="8"/>
  <c r="P478" i="7"/>
  <c r="K478" i="7"/>
  <c r="P651" i="7"/>
  <c r="K651" i="7"/>
  <c r="P288" i="8"/>
  <c r="J312" i="8" s="1"/>
  <c r="L288" i="8"/>
  <c r="K514" i="7"/>
  <c r="P514" i="7"/>
  <c r="L157" i="8"/>
  <c r="P157" i="8"/>
  <c r="J248" i="8" s="1"/>
  <c r="K348" i="7"/>
  <c r="P348" i="7"/>
  <c r="L145" i="8"/>
  <c r="P145" i="8"/>
  <c r="J147" i="8" s="1"/>
  <c r="P391" i="7"/>
  <c r="K391" i="7"/>
  <c r="P863" i="7"/>
  <c r="K863" i="7"/>
  <c r="P240" i="7"/>
  <c r="K240" i="7"/>
  <c r="P643" i="7"/>
  <c r="K643" i="7"/>
  <c r="P320" i="7"/>
  <c r="K320" i="7"/>
  <c r="P463" i="8"/>
  <c r="L463" i="8"/>
  <c r="R618" i="1"/>
  <c r="P128" i="8"/>
  <c r="L128" i="8"/>
  <c r="P304" i="7"/>
  <c r="K304" i="7"/>
  <c r="P484" i="8"/>
  <c r="L484" i="8"/>
  <c r="P811" i="8"/>
  <c r="J874" i="8" s="1"/>
  <c r="L811" i="8"/>
  <c r="L211" i="8"/>
  <c r="P211" i="8"/>
  <c r="L657" i="8"/>
  <c r="P657" i="8"/>
  <c r="I338" i="7"/>
  <c r="P615" i="8"/>
  <c r="L615" i="8"/>
  <c r="J455" i="8"/>
  <c r="L174" i="8"/>
  <c r="P174" i="8"/>
  <c r="P198" i="7"/>
  <c r="K198" i="7"/>
  <c r="J871" i="8"/>
  <c r="P216" i="7"/>
  <c r="K216" i="7"/>
  <c r="CD50" i="1"/>
  <c r="CA618" i="1"/>
  <c r="K776" i="7"/>
  <c r="P776" i="7"/>
  <c r="P601" i="7"/>
  <c r="K601" i="7"/>
  <c r="L310" i="8"/>
  <c r="P310" i="8"/>
  <c r="P64" i="8"/>
  <c r="L64" i="8"/>
  <c r="J759" i="8"/>
  <c r="P803" i="8"/>
  <c r="L803" i="8"/>
  <c r="P238" i="8"/>
  <c r="L238" i="8"/>
  <c r="AQ26" i="1"/>
  <c r="F189" i="1"/>
  <c r="K548" i="7"/>
  <c r="P548" i="7"/>
  <c r="V26" i="1"/>
  <c r="F202" i="1"/>
  <c r="V787" i="1"/>
  <c r="S591" i="1"/>
  <c r="F772" i="1"/>
  <c r="AX401" i="1"/>
  <c r="F566" i="1"/>
  <c r="AS26" i="1"/>
  <c r="F196" i="1"/>
  <c r="AS787" i="1"/>
  <c r="AV92" i="1"/>
  <c r="CE82" i="1"/>
  <c r="Q591" i="1"/>
  <c r="F769" i="1"/>
  <c r="S30" i="1"/>
  <c r="F65" i="1"/>
  <c r="S179" i="1"/>
  <c r="Y215" i="1"/>
  <c r="F265" i="1"/>
  <c r="Y369" i="1"/>
  <c r="AL458" i="1"/>
  <c r="Y469" i="1"/>
  <c r="F480" i="1"/>
  <c r="AZ458" i="1"/>
  <c r="AB270" i="1"/>
  <c r="O279" i="1"/>
  <c r="CD501" i="1"/>
  <c r="AU529" i="1"/>
  <c r="O650" i="1"/>
  <c r="F667" i="1"/>
  <c r="F645" i="1"/>
  <c r="Y595" i="1"/>
  <c r="Y757" i="1"/>
  <c r="AR50" i="1"/>
  <c r="CA30" i="1"/>
  <c r="AP26" i="1"/>
  <c r="F188" i="1"/>
  <c r="AP787" i="1"/>
  <c r="P270" i="1"/>
  <c r="F282" i="1"/>
  <c r="Q401" i="1"/>
  <c r="F571" i="1"/>
  <c r="AW92" i="1"/>
  <c r="CF82" i="1"/>
  <c r="AT211" i="1"/>
  <c r="F387" i="1"/>
  <c r="AU50" i="1"/>
  <c r="CD30" i="1"/>
  <c r="AW595" i="1"/>
  <c r="F624" i="1"/>
  <c r="CA82" i="1"/>
  <c r="AR92" i="1"/>
  <c r="T211" i="1"/>
  <c r="F390" i="1"/>
  <c r="CA595" i="1"/>
  <c r="AR618" i="1"/>
  <c r="AL124" i="1"/>
  <c r="Y149" i="1"/>
  <c r="AY279" i="1"/>
  <c r="CH270" i="1"/>
  <c r="P697" i="1"/>
  <c r="F730" i="1"/>
  <c r="X270" i="1"/>
  <c r="F305" i="1"/>
  <c r="F483" i="1"/>
  <c r="R458" i="1"/>
  <c r="V401" i="1"/>
  <c r="F582" i="1"/>
  <c r="F532" i="1"/>
  <c r="P501" i="1"/>
  <c r="R124" i="1"/>
  <c r="F163" i="1"/>
  <c r="CE697" i="1"/>
  <c r="AV727" i="1"/>
  <c r="BB22" i="1"/>
  <c r="BB817" i="1"/>
  <c r="F800" i="1"/>
  <c r="AX458" i="1"/>
  <c r="F476" i="1"/>
  <c r="V211" i="1"/>
  <c r="F392" i="1"/>
  <c r="R697" i="1"/>
  <c r="F741" i="1"/>
  <c r="CD82" i="1"/>
  <c r="AU92" i="1"/>
  <c r="Y270" i="1"/>
  <c r="F306" i="1"/>
  <c r="CA469" i="1"/>
  <c r="GP460" i="1"/>
  <c r="CD469" i="1" s="1"/>
  <c r="AU618" i="1"/>
  <c r="CD595" i="1"/>
  <c r="AZ401" i="1"/>
  <c r="F570" i="1"/>
  <c r="P30" i="1"/>
  <c r="F53" i="1"/>
  <c r="P179" i="1"/>
  <c r="CA279" i="1"/>
  <c r="GP272" i="1"/>
  <c r="CD279" i="1" s="1"/>
  <c r="S124" i="1"/>
  <c r="F164" i="1"/>
  <c r="W211" i="1"/>
  <c r="F393" i="1"/>
  <c r="T591" i="1"/>
  <c r="F778" i="1"/>
  <c r="AT401" i="1"/>
  <c r="F577" i="1"/>
  <c r="AX591" i="1"/>
  <c r="F764" i="1"/>
  <c r="AY339" i="1"/>
  <c r="CH311" i="1"/>
  <c r="CA215" i="1"/>
  <c r="AR238" i="1"/>
  <c r="AZ30" i="1"/>
  <c r="AZ179" i="1"/>
  <c r="F61" i="1"/>
  <c r="GP699" i="1"/>
  <c r="CD727" i="1" s="1"/>
  <c r="CA727" i="1"/>
  <c r="BC18" i="1"/>
  <c r="F833" i="1"/>
  <c r="BA211" i="1"/>
  <c r="F389" i="1"/>
  <c r="F200" i="1"/>
  <c r="T26" i="1"/>
  <c r="T787" i="1"/>
  <c r="U211" i="1"/>
  <c r="F391" i="1"/>
  <c r="AZ591" i="1"/>
  <c r="F768" i="1"/>
  <c r="R501" i="1"/>
  <c r="F543" i="1"/>
  <c r="AR665" i="1"/>
  <c r="CA650" i="1"/>
  <c r="X30" i="1"/>
  <c r="F76" i="1"/>
  <c r="X179" i="1"/>
  <c r="S211" i="1"/>
  <c r="F384" i="1"/>
  <c r="F452" i="1"/>
  <c r="X405" i="1"/>
  <c r="F199" i="1"/>
  <c r="BA26" i="1"/>
  <c r="BA787" i="1"/>
  <c r="CF311" i="1"/>
  <c r="AW339" i="1"/>
  <c r="AO22" i="1"/>
  <c r="F791" i="1"/>
  <c r="AO817" i="1"/>
  <c r="U595" i="1"/>
  <c r="F640" i="1"/>
  <c r="U757" i="1"/>
  <c r="CF124" i="1"/>
  <c r="AW149" i="1"/>
  <c r="F152" i="1"/>
  <c r="P124" i="1"/>
  <c r="CF501" i="1"/>
  <c r="AW529" i="1"/>
  <c r="AV339" i="1"/>
  <c r="CE311" i="1"/>
  <c r="AB458" i="1"/>
  <c r="O469" i="1"/>
  <c r="CH124" i="1"/>
  <c r="AY149" i="1"/>
  <c r="CE124" i="1"/>
  <c r="AV149" i="1"/>
  <c r="R405" i="1"/>
  <c r="R559" i="1"/>
  <c r="F440" i="1"/>
  <c r="V591" i="1"/>
  <c r="F780" i="1"/>
  <c r="AT591" i="1"/>
  <c r="F775" i="1"/>
  <c r="CD650" i="1"/>
  <c r="AU665" i="1"/>
  <c r="F583" i="1"/>
  <c r="W401" i="1"/>
  <c r="AY92" i="1"/>
  <c r="CH82" i="1"/>
  <c r="P215" i="1"/>
  <c r="F241" i="1"/>
  <c r="P369" i="1"/>
  <c r="S401" i="1"/>
  <c r="F574" i="1"/>
  <c r="Y501" i="1"/>
  <c r="F556" i="1"/>
  <c r="AQ211" i="1"/>
  <c r="F379" i="1"/>
  <c r="AQ787" i="1"/>
  <c r="AY727" i="1"/>
  <c r="CH697" i="1"/>
  <c r="F632" i="1"/>
  <c r="R595" i="1"/>
  <c r="R757" i="1"/>
  <c r="F342" i="1"/>
  <c r="P311" i="1"/>
  <c r="W26" i="1"/>
  <c r="F203" i="1"/>
  <c r="W787" i="1"/>
  <c r="O727" i="1"/>
  <c r="AB697" i="1"/>
  <c r="AY458" i="1"/>
  <c r="F477" i="1"/>
  <c r="P757" i="1"/>
  <c r="GP126" i="1"/>
  <c r="CD149" i="1" s="1"/>
  <c r="CA149" i="1"/>
  <c r="AB124" i="1"/>
  <c r="O149" i="1"/>
  <c r="AX311" i="1"/>
  <c r="F346" i="1"/>
  <c r="X369" i="1"/>
  <c r="AZ501" i="1"/>
  <c r="F540" i="1"/>
  <c r="F293" i="1"/>
  <c r="R270" i="1"/>
  <c r="Y697" i="1"/>
  <c r="F754" i="1"/>
  <c r="AV595" i="1"/>
  <c r="F623" i="1"/>
  <c r="AV757" i="1"/>
  <c r="CA426" i="1"/>
  <c r="GP409" i="1"/>
  <c r="CD426" i="1" s="1"/>
  <c r="Y30" i="1"/>
  <c r="F77" i="1"/>
  <c r="X124" i="1"/>
  <c r="F175" i="1"/>
  <c r="Q311" i="1"/>
  <c r="F351" i="1"/>
  <c r="F453" i="1"/>
  <c r="Y405" i="1"/>
  <c r="Y559" i="1"/>
  <c r="F484" i="1"/>
  <c r="S458" i="1"/>
  <c r="U401" i="1"/>
  <c r="F581" i="1"/>
  <c r="GP313" i="1"/>
  <c r="CD339" i="1" s="1"/>
  <c r="CA339" i="1"/>
  <c r="AB311" i="1"/>
  <c r="O339" i="1"/>
  <c r="AY238" i="1"/>
  <c r="CH215" i="1"/>
  <c r="AX215" i="1"/>
  <c r="AX369" i="1"/>
  <c r="F245" i="1"/>
  <c r="CH30" i="1"/>
  <c r="AY50" i="1"/>
  <c r="AB405" i="1"/>
  <c r="O426" i="1"/>
  <c r="R215" i="1"/>
  <c r="F252" i="1"/>
  <c r="R369" i="1"/>
  <c r="F691" i="1"/>
  <c r="X650" i="1"/>
  <c r="AQ401" i="1"/>
  <c r="F569" i="1"/>
  <c r="AV426" i="1"/>
  <c r="CE405" i="1"/>
  <c r="Y311" i="1"/>
  <c r="F366" i="1"/>
  <c r="V124" i="1"/>
  <c r="F172" i="1"/>
  <c r="CF405" i="1"/>
  <c r="AW426" i="1"/>
  <c r="AY595" i="1"/>
  <c r="F626" i="1"/>
  <c r="X311" i="1"/>
  <c r="F365" i="1"/>
  <c r="CD215" i="1"/>
  <c r="AU238" i="1"/>
  <c r="X595" i="1"/>
  <c r="F644" i="1"/>
  <c r="X757" i="1"/>
  <c r="F250" i="1"/>
  <c r="Q215" i="1"/>
  <c r="Q369" i="1"/>
  <c r="CF215" i="1"/>
  <c r="AW238" i="1"/>
  <c r="R30" i="1"/>
  <c r="F64" i="1"/>
  <c r="R179" i="1"/>
  <c r="AS591" i="1"/>
  <c r="F774" i="1"/>
  <c r="F580" i="1"/>
  <c r="T401" i="1"/>
  <c r="O50" i="1"/>
  <c r="AB30" i="1"/>
  <c r="AT26" i="1"/>
  <c r="F197" i="1"/>
  <c r="AT787" i="1"/>
  <c r="AZ211" i="1"/>
  <c r="F380" i="1"/>
  <c r="CF30" i="1"/>
  <c r="AW50" i="1"/>
  <c r="AW279" i="1"/>
  <c r="CF270" i="1"/>
  <c r="F753" i="1"/>
  <c r="X697" i="1"/>
  <c r="O238" i="1"/>
  <c r="AB215" i="1"/>
  <c r="BA401" i="1"/>
  <c r="F579" i="1"/>
  <c r="F119" i="1"/>
  <c r="Y82" i="1"/>
  <c r="X82" i="1"/>
  <c r="F118" i="1"/>
  <c r="CH501" i="1"/>
  <c r="AY529" i="1"/>
  <c r="AW727" i="1"/>
  <c r="CF697" i="1"/>
  <c r="BD22" i="1"/>
  <c r="F812" i="1"/>
  <c r="BD817" i="1"/>
  <c r="CE501" i="1"/>
  <c r="AV529" i="1"/>
  <c r="AY426" i="1"/>
  <c r="CH405" i="1"/>
  <c r="F429" i="1"/>
  <c r="P405" i="1"/>
  <c r="P559" i="1"/>
  <c r="U26" i="1"/>
  <c r="F201" i="1"/>
  <c r="AB501" i="1"/>
  <c r="O529" i="1"/>
  <c r="AZ124" i="1"/>
  <c r="F160" i="1"/>
  <c r="AX26" i="1"/>
  <c r="F186" i="1"/>
  <c r="AX787" i="1"/>
  <c r="F353" i="1"/>
  <c r="R311" i="1"/>
  <c r="O92" i="1"/>
  <c r="AB82" i="1"/>
  <c r="S697" i="1"/>
  <c r="F742" i="1"/>
  <c r="AV458" i="1"/>
  <c r="F474" i="1"/>
  <c r="F475" i="1"/>
  <c r="AW458" i="1"/>
  <c r="P82" i="1"/>
  <c r="F95" i="1"/>
  <c r="O595" i="1"/>
  <c r="F620" i="1"/>
  <c r="O757" i="1"/>
  <c r="CE215" i="1"/>
  <c r="AV238" i="1"/>
  <c r="AK458" i="1"/>
  <c r="X469" i="1"/>
  <c r="Q26" i="1"/>
  <c r="F191" i="1"/>
  <c r="CA501" i="1"/>
  <c r="AR529" i="1"/>
  <c r="CE30" i="1"/>
  <c r="AV50" i="1"/>
  <c r="AV279" i="1"/>
  <c r="CE270" i="1"/>
  <c r="K499" i="7" l="1"/>
  <c r="K380" i="7"/>
  <c r="I242" i="7"/>
  <c r="K132" i="7"/>
  <c r="K805" i="7"/>
  <c r="P537" i="7"/>
  <c r="I574" i="7" s="1"/>
  <c r="K537" i="7"/>
  <c r="J667" i="8"/>
  <c r="J529" i="8"/>
  <c r="J670" i="8"/>
  <c r="I664" i="7"/>
  <c r="F106" i="1"/>
  <c r="R82" i="1"/>
  <c r="I109" i="7"/>
  <c r="P455" i="8"/>
  <c r="J468" i="8" s="1"/>
  <c r="L455" i="8"/>
  <c r="I753" i="7"/>
  <c r="I868" i="7"/>
  <c r="R650" i="1"/>
  <c r="F679" i="1"/>
  <c r="I350" i="7"/>
  <c r="I523" i="7"/>
  <c r="I871" i="7"/>
  <c r="I245" i="7"/>
  <c r="I306" i="7"/>
  <c r="K338" i="7"/>
  <c r="P338" i="7"/>
  <c r="I874" i="7" s="1"/>
  <c r="I20" i="7" s="1"/>
  <c r="I865" i="7"/>
  <c r="P521" i="7"/>
  <c r="K521" i="7"/>
  <c r="J251" i="8"/>
  <c r="I141" i="7"/>
  <c r="J115" i="8"/>
  <c r="I778" i="7"/>
  <c r="CD311" i="1"/>
  <c r="AU339" i="1"/>
  <c r="BB18" i="1"/>
  <c r="F830" i="1"/>
  <c r="O124" i="1"/>
  <c r="F151" i="1"/>
  <c r="F495" i="1"/>
  <c r="X458" i="1"/>
  <c r="AY270" i="1"/>
  <c r="F287" i="1"/>
  <c r="AU501" i="1"/>
  <c r="F548" i="1"/>
  <c r="AV82" i="1"/>
  <c r="F97" i="1"/>
  <c r="BA22" i="1"/>
  <c r="F807" i="1"/>
  <c r="BA817" i="1"/>
  <c r="O270" i="1"/>
  <c r="F281" i="1"/>
  <c r="AS22" i="1"/>
  <c r="F804" i="1"/>
  <c r="E16" i="2" s="1"/>
  <c r="AS817" i="1"/>
  <c r="CA124" i="1"/>
  <c r="AR149" i="1"/>
  <c r="AV501" i="1"/>
  <c r="F534" i="1"/>
  <c r="X26" i="1"/>
  <c r="F205" i="1"/>
  <c r="F341" i="1"/>
  <c r="O311" i="1"/>
  <c r="AV311" i="1"/>
  <c r="F344" i="1"/>
  <c r="AY697" i="1"/>
  <c r="F735" i="1"/>
  <c r="AY311" i="1"/>
  <c r="F347" i="1"/>
  <c r="F243" i="1"/>
  <c r="AV369" i="1"/>
  <c r="AV215" i="1"/>
  <c r="X559" i="1"/>
  <c r="X787" i="1" s="1"/>
  <c r="CD458" i="1"/>
  <c r="AU469" i="1"/>
  <c r="AR727" i="1"/>
  <c r="CA697" i="1"/>
  <c r="AU82" i="1"/>
  <c r="F111" i="1"/>
  <c r="AP22" i="1"/>
  <c r="F796" i="1"/>
  <c r="G16" i="2" s="1"/>
  <c r="G18" i="2" s="1"/>
  <c r="AP817" i="1"/>
  <c r="F496" i="1"/>
  <c r="Y458" i="1"/>
  <c r="F52" i="1"/>
  <c r="O30" i="1"/>
  <c r="O179" i="1"/>
  <c r="CD405" i="1"/>
  <c r="AU426" i="1"/>
  <c r="F383" i="1"/>
  <c r="R211" i="1"/>
  <c r="AU595" i="1"/>
  <c r="F637" i="1"/>
  <c r="AU757" i="1"/>
  <c r="O591" i="1"/>
  <c r="F759" i="1"/>
  <c r="AW405" i="1"/>
  <c r="F432" i="1"/>
  <c r="AW559" i="1"/>
  <c r="R401" i="1"/>
  <c r="F573" i="1"/>
  <c r="F284" i="1"/>
  <c r="AV270" i="1"/>
  <c r="AO18" i="1"/>
  <c r="F821" i="1"/>
  <c r="CD697" i="1"/>
  <c r="AU727" i="1"/>
  <c r="F120" i="1"/>
  <c r="AR82" i="1"/>
  <c r="CD124" i="1"/>
  <c r="AU149" i="1"/>
  <c r="AY757" i="1"/>
  <c r="AW82" i="1"/>
  <c r="F98" i="1"/>
  <c r="O405" i="1"/>
  <c r="F428" i="1"/>
  <c r="O559" i="1"/>
  <c r="AY30" i="1"/>
  <c r="F58" i="1"/>
  <c r="AY179" i="1"/>
  <c r="F733" i="1"/>
  <c r="AW697" i="1"/>
  <c r="AX211" i="1"/>
  <c r="F376" i="1"/>
  <c r="Y211" i="1"/>
  <c r="F396" i="1"/>
  <c r="AU215" i="1"/>
  <c r="F257" i="1"/>
  <c r="F69" i="1"/>
  <c r="AU30" i="1"/>
  <c r="T22" i="1"/>
  <c r="T817" i="1"/>
  <c r="F808" i="1"/>
  <c r="F240" i="1"/>
  <c r="O369" i="1"/>
  <c r="O215" i="1"/>
  <c r="AX22" i="1"/>
  <c r="AX817" i="1"/>
  <c r="F794" i="1"/>
  <c r="AV697" i="1"/>
  <c r="F732" i="1"/>
  <c r="AW124" i="1"/>
  <c r="F155" i="1"/>
  <c r="AR595" i="1"/>
  <c r="F646" i="1"/>
  <c r="Y401" i="1"/>
  <c r="F586" i="1"/>
  <c r="U591" i="1"/>
  <c r="F779" i="1"/>
  <c r="AV124" i="1"/>
  <c r="F154" i="1"/>
  <c r="Q211" i="1"/>
  <c r="F381" i="1"/>
  <c r="F157" i="1"/>
  <c r="AY124" i="1"/>
  <c r="X211" i="1"/>
  <c r="F395" i="1"/>
  <c r="AZ26" i="1"/>
  <c r="F190" i="1"/>
  <c r="AZ787" i="1"/>
  <c r="AU279" i="1"/>
  <c r="CD270" i="1"/>
  <c r="AW757" i="1"/>
  <c r="V22" i="1"/>
  <c r="V817" i="1"/>
  <c r="F810" i="1"/>
  <c r="F684" i="1"/>
  <c r="AU650" i="1"/>
  <c r="O82" i="1"/>
  <c r="F94" i="1"/>
  <c r="AW501" i="1"/>
  <c r="F535" i="1"/>
  <c r="AY405" i="1"/>
  <c r="AY559" i="1"/>
  <c r="F434" i="1"/>
  <c r="AQ22" i="1"/>
  <c r="F797" i="1"/>
  <c r="AQ817" i="1"/>
  <c r="P591" i="1"/>
  <c r="F760" i="1"/>
  <c r="Y124" i="1"/>
  <c r="F176" i="1"/>
  <c r="R26" i="1"/>
  <c r="F193" i="1"/>
  <c r="R787" i="1"/>
  <c r="F729" i="1"/>
  <c r="O697" i="1"/>
  <c r="AW30" i="1"/>
  <c r="F56" i="1"/>
  <c r="AW179" i="1"/>
  <c r="U787" i="1"/>
  <c r="AR501" i="1"/>
  <c r="F557" i="1"/>
  <c r="O458" i="1"/>
  <c r="F471" i="1"/>
  <c r="CA270" i="1"/>
  <c r="AR279" i="1"/>
  <c r="AR369" i="1" s="1"/>
  <c r="F78" i="1"/>
  <c r="AR30" i="1"/>
  <c r="AR179" i="1"/>
  <c r="CA311" i="1"/>
  <c r="AR339" i="1"/>
  <c r="AR426" i="1"/>
  <c r="CA405" i="1"/>
  <c r="AV591" i="1"/>
  <c r="F762" i="1"/>
  <c r="BD18" i="1"/>
  <c r="F842" i="1"/>
  <c r="CA458" i="1"/>
  <c r="AR469" i="1"/>
  <c r="AW270" i="1"/>
  <c r="F285" i="1"/>
  <c r="AW215" i="1"/>
  <c r="F244" i="1"/>
  <c r="AW369" i="1"/>
  <c r="W22" i="1"/>
  <c r="F811" i="1"/>
  <c r="W817" i="1"/>
  <c r="O501" i="1"/>
  <c r="F531" i="1"/>
  <c r="P211" i="1"/>
  <c r="F372" i="1"/>
  <c r="AV30" i="1"/>
  <c r="F55" i="1"/>
  <c r="AV179" i="1"/>
  <c r="AY501" i="1"/>
  <c r="F537" i="1"/>
  <c r="F693" i="1"/>
  <c r="AR650" i="1"/>
  <c r="AT22" i="1"/>
  <c r="AT817" i="1"/>
  <c r="F805" i="1"/>
  <c r="F16" i="2" s="1"/>
  <c r="F18" i="2" s="1"/>
  <c r="X591" i="1"/>
  <c r="F783" i="1"/>
  <c r="F771" i="1"/>
  <c r="R591" i="1"/>
  <c r="AY82" i="1"/>
  <c r="F100" i="1"/>
  <c r="AW311" i="1"/>
  <c r="F345" i="1"/>
  <c r="Q787" i="1"/>
  <c r="P401" i="1"/>
  <c r="F562" i="1"/>
  <c r="AV405" i="1"/>
  <c r="F431" i="1"/>
  <c r="AV559" i="1"/>
  <c r="AY215" i="1"/>
  <c r="F246" i="1"/>
  <c r="AY369" i="1"/>
  <c r="Y179" i="1"/>
  <c r="AR215" i="1"/>
  <c r="F266" i="1"/>
  <c r="P26" i="1"/>
  <c r="F182" i="1"/>
  <c r="P787" i="1"/>
  <c r="Y591" i="1"/>
  <c r="F784" i="1"/>
  <c r="S26" i="1"/>
  <c r="F194" i="1"/>
  <c r="S787" i="1"/>
  <c r="I462" i="7" l="1"/>
  <c r="J877" i="8"/>
  <c r="J880" i="8"/>
  <c r="H31" i="8" s="1"/>
  <c r="J465" i="8"/>
  <c r="AY591" i="1"/>
  <c r="F765" i="1"/>
  <c r="AU405" i="1"/>
  <c r="F445" i="1"/>
  <c r="AU559" i="1"/>
  <c r="T18" i="1"/>
  <c r="F838" i="1"/>
  <c r="AS18" i="1"/>
  <c r="F834" i="1"/>
  <c r="I21" i="7" s="1"/>
  <c r="F168" i="1"/>
  <c r="AU124" i="1"/>
  <c r="W18" i="1"/>
  <c r="F841" i="1"/>
  <c r="AY211" i="1"/>
  <c r="F377" i="1"/>
  <c r="F755" i="1"/>
  <c r="AR697" i="1"/>
  <c r="X401" i="1"/>
  <c r="F585" i="1"/>
  <c r="AR270" i="1"/>
  <c r="F307" i="1"/>
  <c r="E18" i="2"/>
  <c r="AR211" i="1"/>
  <c r="F397" i="1"/>
  <c r="Y26" i="1"/>
  <c r="F206" i="1"/>
  <c r="Y787" i="1"/>
  <c r="O211" i="1"/>
  <c r="F371" i="1"/>
  <c r="AR124" i="1"/>
  <c r="F177" i="1"/>
  <c r="O26" i="1"/>
  <c r="F181" i="1"/>
  <c r="O787" i="1"/>
  <c r="AV26" i="1"/>
  <c r="F184" i="1"/>
  <c r="AV787" i="1"/>
  <c r="AU270" i="1"/>
  <c r="F298" i="1"/>
  <c r="AR757" i="1"/>
  <c r="AU179" i="1"/>
  <c r="X22" i="1"/>
  <c r="X817" i="1"/>
  <c r="F813" i="1"/>
  <c r="AU458" i="1"/>
  <c r="F488" i="1"/>
  <c r="AT18" i="1"/>
  <c r="F835" i="1"/>
  <c r="I22" i="7" s="1"/>
  <c r="AV401" i="1"/>
  <c r="F564" i="1"/>
  <c r="AY26" i="1"/>
  <c r="F187" i="1"/>
  <c r="AY787" i="1"/>
  <c r="AR458" i="1"/>
  <c r="F497" i="1"/>
  <c r="P22" i="1"/>
  <c r="F790" i="1"/>
  <c r="P817" i="1"/>
  <c r="AW401" i="1"/>
  <c r="F565" i="1"/>
  <c r="AU591" i="1"/>
  <c r="F776" i="1"/>
  <c r="AR311" i="1"/>
  <c r="F367" i="1"/>
  <c r="AX18" i="1"/>
  <c r="F824" i="1"/>
  <c r="O401" i="1"/>
  <c r="F561" i="1"/>
  <c r="AP18" i="1"/>
  <c r="F826" i="1"/>
  <c r="I23" i="7" s="1"/>
  <c r="AU311" i="1"/>
  <c r="F358" i="1"/>
  <c r="AR405" i="1"/>
  <c r="AR559" i="1"/>
  <c r="F454" i="1"/>
  <c r="R22" i="1"/>
  <c r="R817" i="1"/>
  <c r="F801" i="1"/>
  <c r="AR26" i="1"/>
  <c r="F207" i="1"/>
  <c r="AU697" i="1"/>
  <c r="F746" i="1"/>
  <c r="AW211" i="1"/>
  <c r="F375" i="1"/>
  <c r="S22" i="1"/>
  <c r="S817" i="1"/>
  <c r="F802" i="1"/>
  <c r="V18" i="1"/>
  <c r="F840" i="1"/>
  <c r="F374" i="1"/>
  <c r="AV211" i="1"/>
  <c r="AW591" i="1"/>
  <c r="F763" i="1"/>
  <c r="AQ18" i="1"/>
  <c r="F827" i="1"/>
  <c r="Q22" i="1"/>
  <c r="Q817" i="1"/>
  <c r="F799" i="1"/>
  <c r="AZ22" i="1"/>
  <c r="AZ817" i="1"/>
  <c r="F798" i="1"/>
  <c r="U22" i="1"/>
  <c r="F809" i="1"/>
  <c r="U817" i="1"/>
  <c r="AW26" i="1"/>
  <c r="F185" i="1"/>
  <c r="AW787" i="1"/>
  <c r="AY401" i="1"/>
  <c r="F567" i="1"/>
  <c r="AU369" i="1"/>
  <c r="BA18" i="1"/>
  <c r="F837" i="1"/>
  <c r="R18" i="1" l="1"/>
  <c r="F831" i="1"/>
  <c r="Y22" i="1"/>
  <c r="Y817" i="1"/>
  <c r="F814" i="1"/>
  <c r="AR401" i="1"/>
  <c r="F587" i="1"/>
  <c r="U18" i="1"/>
  <c r="F839" i="1"/>
  <c r="AU26" i="1"/>
  <c r="F198" i="1"/>
  <c r="AU787" i="1"/>
  <c r="AZ18" i="1"/>
  <c r="F828" i="1"/>
  <c r="AU401" i="1"/>
  <c r="F578" i="1"/>
  <c r="O22" i="1"/>
  <c r="F789" i="1"/>
  <c r="O817" i="1"/>
  <c r="X18" i="1"/>
  <c r="F843" i="1"/>
  <c r="J16" i="2"/>
  <c r="J18" i="2" s="1"/>
  <c r="AY22" i="1"/>
  <c r="AY817" i="1"/>
  <c r="F795" i="1"/>
  <c r="AU211" i="1"/>
  <c r="F388" i="1"/>
  <c r="AW22" i="1"/>
  <c r="F793" i="1"/>
  <c r="AW817" i="1"/>
  <c r="P18" i="1"/>
  <c r="F820" i="1"/>
  <c r="AR591" i="1"/>
  <c r="F785" i="1"/>
  <c r="S18" i="1"/>
  <c r="F832" i="1"/>
  <c r="I25" i="7" s="1"/>
  <c r="AV22" i="1"/>
  <c r="AV817" i="1"/>
  <c r="F792" i="1"/>
  <c r="Q18" i="1"/>
  <c r="F829" i="1"/>
  <c r="AR787" i="1"/>
  <c r="AY18" i="1" l="1"/>
  <c r="F825" i="1"/>
  <c r="AW18" i="1"/>
  <c r="F823" i="1"/>
  <c r="Y18" i="1"/>
  <c r="F844" i="1"/>
  <c r="AU22" i="1"/>
  <c r="F806" i="1"/>
  <c r="H16" i="2" s="1"/>
  <c r="AU817" i="1"/>
  <c r="AR22" i="1"/>
  <c r="F815" i="1"/>
  <c r="AR817" i="1"/>
  <c r="AV18" i="1"/>
  <c r="F822" i="1"/>
  <c r="O18" i="1"/>
  <c r="F819" i="1"/>
  <c r="AU18" i="1" l="1"/>
  <c r="F836" i="1"/>
  <c r="I24" i="7" s="1"/>
  <c r="AR18" i="1"/>
  <c r="F845" i="1"/>
  <c r="F846" i="1" s="1"/>
  <c r="H18" i="2"/>
  <c r="I16" i="2"/>
  <c r="I18" i="2" s="1"/>
  <c r="F848" i="1" l="1"/>
</calcChain>
</file>

<file path=xl/sharedStrings.xml><?xml version="1.0" encoding="utf-8"?>
<sst xmlns="http://schemas.openxmlformats.org/spreadsheetml/2006/main" count="16294" uniqueCount="516">
  <si>
    <t>Smeta.RU  (495) 974-1589</t>
  </si>
  <si>
    <t>_PS_</t>
  </si>
  <si>
    <t>Smeta.RU</t>
  </si>
  <si>
    <t/>
  </si>
  <si>
    <t>Офис продакшн и туалетные модули_на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</si>
  <si>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</si>
  <si>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</si>
  <si>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</si>
  <si>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</si>
  <si>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</si>
  <si>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</si>
  <si>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</si>
  <si>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</si>
  <si>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Туалетные модули 3 кабины в блоке. (15 модулей.)</t>
  </si>
  <si>
    <t>Новый подраздел</t>
  </si>
  <si>
    <t>Оборудование водоснабжения и водоотведения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</si>
  <si>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</si>
  <si>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</si>
  <si>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10 шт.</t>
  </si>
  <si>
    <t>СН-2012.1 Выпуск № 5 (в текущих ценах по состоянию на 01.10.2025 г.). 1.16-2201-1-1/1</t>
  </si>
  <si>
    <t>)*17</t>
  </si>
  <si>
    <t>СН-2012</t>
  </si>
  <si>
    <t>Подрядные работы, гл. 1-5,7</t>
  </si>
  <si>
    <t>работа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</si>
  <si>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</si>
  <si>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</si>
  <si>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</si>
  <si>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)*34</t>
  </si>
  <si>
    <t>1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</si>
  <si>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</si>
  <si>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</si>
  <si>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</si>
  <si>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</si>
  <si>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2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</si>
  <si>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</si>
  <si>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</si>
  <si>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</si>
  <si>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</si>
  <si>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</si>
  <si>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</si>
  <si>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</si>
  <si>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3</t>
  </si>
  <si>
    <t>1.23-2103-41-1/1</t>
  </si>
  <si>
    <t>Техническое обслуживание регулирующего клапана / Смеситель для раковины</t>
  </si>
  <si>
    <t>СН-2012.1 Выпуск № 5 (в текущих ценах по состоянию на 01.10.2025 г.). 1.23-2103-41-1/1</t>
  </si>
  <si>
    <t>4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</si>
  <si>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</si>
  <si>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</si>
  <si>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</si>
  <si>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</si>
  <si>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5</t>
  </si>
  <si>
    <t>1.16-2203-1-1/1</t>
  </si>
  <si>
    <t>Прочистка сифонов</t>
  </si>
  <si>
    <t>СН-2012.1 Выпуск № 5 (в текущих ценах по состоянию на 01.10.2025 г.). 1.16-2203-1-1/1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</si>
  <si>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</si>
  <si>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</si>
  <si>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</si>
  <si>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)*4</t>
  </si>
  <si>
    <t>1.16-3101-3-1/1</t>
  </si>
  <si>
    <t>Прочистка канализационной сети внутренней</t>
  </si>
  <si>
    <t>100 м</t>
  </si>
  <si>
    <t>СН-2012.1 Выпуск № 5 (в текущих ценах по состоянию на 01.10.2025 г.). 1.16-3101-3-1/1</t>
  </si>
  <si>
    <t>6</t>
  </si>
  <si>
    <t>1.15-2303-4-1/1</t>
  </si>
  <si>
    <t>Прочистка сетчатых фильтров грубой очистки воды диаметром до 25 мм</t>
  </si>
  <si>
    <t>СН-2012.1 Выпуск № 5 (в текущих ценах по состоянию на 01.10.2025 г.). 1.15-2303-4-1/1</t>
  </si>
  <si>
    <t>1.15-2101-1-1/1</t>
  </si>
  <si>
    <t>Осмотр магистральных неизолированных внутренних трубопроводов диаметром до 100 мм</t>
  </si>
  <si>
    <t>СН-2012.1 Выпуск № 5 (в текущих ценах по состоянию на 01.10.2025 г.). 1.15-2101-1-1/1</t>
  </si>
  <si>
    <t>)*8</t>
  </si>
  <si>
    <t>1.15-2101-3-1/1</t>
  </si>
  <si>
    <t>Осмотр магистральных неизолированных внутренних трубопроводов диаметром до 100 мм, расположенных за подвесными потолками, с лестниц</t>
  </si>
  <si>
    <t>СН-2012.1 Выпуск № 5 (в текущих ценах по состоянию на 01.10.2025 г.). 1.15-2101-3-1/1</t>
  </si>
  <si>
    <t>7</t>
  </si>
  <si>
    <t>Техническое обслуживание регулирующего клапана / Кран шаровой ПВХ 1/2 для подключения гибкой подводки</t>
  </si>
  <si>
    <t>8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</si>
  <si>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</si>
  <si>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</si>
  <si>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</si>
  <si>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1.16-1201-2-1/1</t>
  </si>
  <si>
    <t>Уборка гарнитуры туалетной в зданиях медицинских организаций - контейнеры для жидкого мыла (с наполнением контейнеров жидким мылом) / прим.</t>
  </si>
  <si>
    <t>СН-2012.1 Выпуск № 5 (в текущих ценах по состоянию на 01.10.2025 г.). 1.16-1201-2-1/1</t>
  </si>
  <si>
    <t>)*245</t>
  </si>
  <si>
    <t>1.16-1201-2-2/1</t>
  </si>
  <si>
    <t>Уборка гарнитуры туалетной в зданиях медицинских организаций - держатели для туалетной бумаги (с установкой рулонов туалетной бумаги) / прим.</t>
  </si>
  <si>
    <t>СН-2012.1 Выпуск № 5 (в текущих ценах по состоянию на 01.10.2025 г.). 1.16-1201-2-2/1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</si>
  <si>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</si>
  <si>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</si>
  <si>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</si>
  <si>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</si>
  <si>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</si>
  <si>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</si>
  <si>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</si>
  <si>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</si>
  <si>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</si>
  <si>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</si>
  <si>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</si>
  <si>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</si>
  <si>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</si>
  <si>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</si>
  <si>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</si>
  <si>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</si>
  <si>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</si>
  <si>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</si>
  <si>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</si>
  <si>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</si>
  <si>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</si>
  <si>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</si>
  <si>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</si>
  <si>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</si>
  <si>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</si>
  <si>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</si>
  <si>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</si>
  <si>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</si>
  <si>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</si>
  <si>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</si>
  <si>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</si>
  <si>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</si>
  <si>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</si>
  <si>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</si>
  <si>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</si>
  <si>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</si>
  <si>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</si>
  <si>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</si>
  <si>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</si>
  <si>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</si>
  <si>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</si>
  <si>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</si>
  <si>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</si>
  <si>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</si>
  <si>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</si>
  <si>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</si>
  <si>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</si>
  <si>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</si>
  <si>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</si>
  <si>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</si>
  <si>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</si>
  <si>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</si>
  <si>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</si>
  <si>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</si>
  <si>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Техническое помещение общее на модуль</t>
  </si>
  <si>
    <t>9</t>
  </si>
  <si>
    <t>1.21-2303-24-1/1</t>
  </si>
  <si>
    <t>Техническое обслуживание электроводонагревателей объемом до 80 литров</t>
  </si>
  <si>
    <t>СН-2012.1 Выпуск № 5 (в текущих ценах по состоянию на 01.10.2025 г.). 1.21-2303-24-1/1</t>
  </si>
  <si>
    <t>10</t>
  </si>
  <si>
    <t>1.24-2103-16-1/1</t>
  </si>
  <si>
    <t>Техническое обслуживание погружных насосов мощностью от 2,1 кВт до 16 кВт / прим.</t>
  </si>
  <si>
    <t>СН-2012.1 Выпуск № 5 (в текущих ценах по состоянию на 01.10.2025 г.). 1.24-2103-16-1/1</t>
  </si>
  <si>
    <t>1.16-2301-1-1/1</t>
  </si>
  <si>
    <t>Осмотр насоса для сточных вод переносного с полуоткрытым рабочим колесом Грундфос EF</t>
  </si>
  <si>
    <t>СН-2012.1 Выпуск № 5 (в текущих ценах по состоянию на 01.10.2025 г.). 1.16-2301-1-1/1</t>
  </si>
  <si>
    <t>)*5</t>
  </si>
  <si>
    <t>1.16-2303-2-1/1</t>
  </si>
  <si>
    <t>Техническое обслуживание насоса для сточных вод переносного с полуоткрытым рабочим колесом Грундфос EF</t>
  </si>
  <si>
    <t>СН-2012.1 Выпуск № 5 (в текущих ценах по состоянию на 01.10.2025 г.). 1.16-2303-2-1/1</t>
  </si>
  <si>
    <t>)*3</t>
  </si>
  <si>
    <t>1.24-2103-11-4/1</t>
  </si>
  <si>
    <t>Техническое обслуживание центробежных насосов мощностью от 15 до 75 кВт</t>
  </si>
  <si>
    <t>СН-2012.1 Выпуск № 5 (в текущих ценах по состоянию на 01.10.2025 г.). 1.24-2103-11-4/1</t>
  </si>
  <si>
    <t>1.24-2101-1-4/1</t>
  </si>
  <si>
    <t>Технический осмотр центробежных насосов мощностью от 15 до 75 кВт</t>
  </si>
  <si>
    <t>СН-2012.1 Выпуск № 5 (в текущих ценах по состоянию на 01.10.2025 г.). 1.24-2101-1-4/1</t>
  </si>
  <si>
    <t>11</t>
  </si>
  <si>
    <t>1.17-2103-14-1/1</t>
  </si>
  <si>
    <t>Техническое обслуживание мембранного расширительного бака объемом 100 л</t>
  </si>
  <si>
    <t>СН-2012.1 Выпуск № 5 (в текущих ценах по состоянию на 01.10.2025 г.). 1.17-2103-14-1/1</t>
  </si>
  <si>
    <t>Электрооборудование каждого модуля</t>
  </si>
  <si>
    <t>12</t>
  </si>
  <si>
    <t>1.21-2203-2-5/1</t>
  </si>
  <si>
    <t>Техническое обслуживание силового распределительного пункта с установочными автоматами, число групп 12 /( Главный распределительный щит )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</si>
  <si>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</si>
  <si>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</si>
  <si>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 /Главный распределительный щит</t>
  </si>
  <si>
    <t>СН-2012.1 Выпуск № 5 (в текущих ценах по состоянию на 01.10.2025 г.). 1.21-2201-2-5/1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</si>
  <si>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</si>
  <si>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</si>
  <si>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</si>
  <si>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13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</si>
  <si>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</si>
  <si>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</si>
  <si>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</si>
  <si>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</si>
  <si>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</si>
  <si>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</si>
  <si>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1.21-1101-1-1/1</t>
  </si>
  <si>
    <t>Протирка электрополотенца (сушителя для рук)</t>
  </si>
  <si>
    <t>СН-2012.1 Выпуск № 5 (в текущих ценах по состоянию на 01.10.2025 г.). 1.21-1101-1-1/1</t>
  </si>
  <si>
    <t>14</t>
  </si>
  <si>
    <t>1.21-3301-35-1/1</t>
  </si>
  <si>
    <t>Ремонт электрополотенца (сушителя для рук) с заменой датчика включения (без стоимости датчика)</t>
  </si>
  <si>
    <t>СН-2012.1 Выпуск № 5 (в текущих ценах по состоянию на 01.10.2025 г.). 1.21-3301-35-1/1</t>
  </si>
  <si>
    <t>15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</si>
  <si>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</si>
  <si>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вывеска</t>
  </si>
  <si>
    <t>СН-2012.1 Выпуск № 5 (в текущих ценах по состоянию на 01.10.2025 г.). 1.20-2103-25-1/1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</si>
  <si>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</si>
  <si>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</si>
  <si>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</si>
  <si>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16</t>
  </si>
  <si>
    <t>1.20-2103-24-1/1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</si>
  <si>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наружные</t>
  </si>
  <si>
    <t>СН-2012.1 Выпуск № 5 (в текущих ценах по состоянию на 01.10.2025 г.). 1.20-2103-24-1/1</t>
  </si>
  <si>
    <t>17</t>
  </si>
  <si>
    <t>1.20-2103-19-2/1</t>
  </si>
  <si>
    <t>Техническое обслуживание годовое светильника светодиодного потолочного типа Arctic 1200 / внутренние</t>
  </si>
  <si>
    <t>СН-2012.1 Выпуск № 5 (в текущих ценах по состоянию на 01.10.2025 г.). 1.20-2103-19-2/1</t>
  </si>
  <si>
    <t>18</t>
  </si>
  <si>
    <t>1.20-2103-20-1/1</t>
  </si>
  <si>
    <t>Техническое обслуживание датчика движения инфракрасного, встраиваемого в подвесной потолок, для управления освещением - ежемесячное</t>
  </si>
  <si>
    <t>СН-2012.1 Выпуск № 5 (в текущих ценах по состоянию на 01.10.2025 г.). 1.20-2103-20-1/1</t>
  </si>
  <si>
    <t>19</t>
  </si>
  <si>
    <t>1.18-2303-3-1/1</t>
  </si>
  <si>
    <t>Техническое обслуживание канального вентилятора - ежемесячное</t>
  </si>
  <si>
    <t>СН-2012.1 Выпуск № 5 (в текущих ценах по состоянию на 01.10.2025 г.). 1.18-2303-3-1/1</t>
  </si>
  <si>
    <t>1.18-2303-3-2/1</t>
  </si>
  <si>
    <t>Техническое обслуживание канального вентилятора - ежеквартальное</t>
  </si>
  <si>
    <t>СН-2012.1 Выпуск № 5 (в текущих ценах по состоянию на 01.10.2025 г.). 1.18-2303-3-2/1</t>
  </si>
  <si>
    <t>1.18-2303-3-3/1</t>
  </si>
  <si>
    <t>Техническое обслуживание канального вентилятора - ежегодное</t>
  </si>
  <si>
    <t>СН-2012.1 Выпуск № 5 (в текущих ценах по состоянию на 01.10.2025 г.). 1.18-2303-3-3/1</t>
  </si>
  <si>
    <t>20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</si>
  <si>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</si>
  <si>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</si>
  <si>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</si>
  <si>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</si>
  <si>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</si>
  <si>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</si>
  <si>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21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</si>
  <si>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</si>
  <si>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</si>
  <si>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</si>
  <si>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</si>
  <si>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</si>
  <si>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</si>
  <si>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22</t>
  </si>
  <si>
    <t>1.21-2103-9-2/1</t>
  </si>
  <si>
    <t>Техническое обслуживание силовых сетей, проложенных по кирпичным и бетонным основаниям, провод сечением 3х1,5-6 мм2 / прим. 3х2,5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</si>
  <si>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</si>
  <si>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</si>
  <si>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/ прим.3х2,5</t>
  </si>
  <si>
    <t>СН-2012.1 Выпуск № 5 (в текущих ценах по состоянию на 01.10.2025 г.). 1.21-2101-1-2/1</t>
  </si>
  <si>
    <t>23</t>
  </si>
  <si>
    <t>Техническое обслуживание силовых сетей, проложенных по кирпичным и бетонным основаниям, провод сечением 3х1,5-6 мм2</t>
  </si>
  <si>
    <t>Технический осмотр силовых сетей, проложенных по кирпичным и бетонным основаниям, провод сечением 3х1,5-6 мм2</t>
  </si>
  <si>
    <t>Туалетный модуль 2 кабины (4 шт.)</t>
  </si>
  <si>
    <t>24</t>
  </si>
  <si>
    <t>25</t>
  </si>
  <si>
    <t>Техническое обслуживание насоса для сточных вод переносного с полуоткрытым рабочим колесом Грундфос EF / сололифт</t>
  </si>
  <si>
    <t>26</t>
  </si>
  <si>
    <t>27</t>
  </si>
  <si>
    <t>28</t>
  </si>
  <si>
    <t>29</t>
  </si>
  <si>
    <t>)*2</t>
  </si>
  <si>
    <t>Уборка гарнитуры туалетной в зданиях медицинских организаций - держатели для туалетной бумаги (с установкой рулонов туалетной бумаги) / прим. диспенсер для бумажных полотенец</t>
  </si>
  <si>
    <t>30</t>
  </si>
  <si>
    <t>31</t>
  </si>
  <si>
    <t>32</t>
  </si>
  <si>
    <t>33</t>
  </si>
  <si>
    <t>Электрооборудование</t>
  </si>
  <si>
    <t>34</t>
  </si>
  <si>
    <t>35</t>
  </si>
  <si>
    <t>36</t>
  </si>
  <si>
    <t>1.17-2103-15-3/1</t>
  </si>
  <si>
    <t>Техническое обслуживание конвекторов, встраиваемых в пол, длиной короба 1100 мм, шириной короба до 260 мм</t>
  </si>
  <si>
    <t>СН-2012.1 Выпуск № 5 (в текущих ценах по состоянию на 01.10.2025 г.). 1.17-2103-15-3/1</t>
  </si>
  <si>
    <t>37</t>
  </si>
  <si>
    <t>1.17-2103-15-4/1</t>
  </si>
  <si>
    <t>Техническое обслуживание конвекторов, встраиваемых в пол, шириной короба до 260 мм, добавлять к 1.17-2103-15-3 на каждые 200 мм увеличения длины короба</t>
  </si>
  <si>
    <t>СН-2012.1 Выпуск № 5 (в текущих ценах по состоянию на 01.10.2025 г.). 1.17-2103-15-4/1</t>
  </si>
  <si>
    <t>38</t>
  </si>
  <si>
    <t>39</t>
  </si>
  <si>
    <t>40</t>
  </si>
  <si>
    <t>41</t>
  </si>
  <si>
    <t>42</t>
  </si>
  <si>
    <t>43</t>
  </si>
  <si>
    <t>44</t>
  </si>
  <si>
    <t>45</t>
  </si>
  <si>
    <t>Туалетный модуль 2 кабины с сололифтами (1 шт.)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</si>
  <si>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</si>
  <si>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</si>
  <si>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</si>
  <si>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</si>
  <si>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</si>
  <si>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</si>
  <si>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</si>
  <si>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</si>
  <si>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</si>
  <si>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</si>
  <si>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</si>
  <si>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</si>
  <si>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</si>
  <si>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</si>
  <si>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</si>
  <si>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</si>
  <si>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</si>
  <si>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</si>
  <si>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</si>
  <si>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</si>
  <si>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</si>
  <si>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Офис-продакшн  5 шт.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</si>
  <si>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</si>
  <si>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</si>
  <si>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</si>
  <si>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</si>
  <si>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</si>
  <si>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</si>
  <si>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</si>
  <si>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</si>
  <si>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</si>
  <si>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Кондиционирование</t>
  </si>
  <si>
    <t>76</t>
  </si>
  <si>
    <t>1.18-2403-19-5/1</t>
  </si>
  <si>
    <t>Техническое обслуживание внутренних настенных блоков сплит систем мощностью до 7 кВт - полугодовое</t>
  </si>
  <si>
    <t>1 блок</t>
  </si>
  <si>
    <t>СН-2012.1 Выпуск № 5 (в текущих ценах по состоянию на 01.10.2025 г.). 1.18-2403-19-5/1</t>
  </si>
  <si>
    <t>1.18-2403-19-2/1</t>
  </si>
  <si>
    <t>Техническое обслуживание внутренних настенных блоков сплит систем мощностью до 7 кВт - ежемесячное</t>
  </si>
  <si>
    <t>СН-2012.1 Выпуск № 5 (в текущих ценах по состоянию на 01.10.2025 г.). 1.18-2403-19-2/1</t>
  </si>
  <si>
    <t>1.18-2403-18-1/1</t>
  </si>
  <si>
    <t>Техническое обслуживание наружных блоков сплит систем мощностью до 10 кВт - ежемесячное</t>
  </si>
  <si>
    <t>СН-2012.1 Выпуск № 5 (в текущих ценах по состоянию на 01.10.2025 г.). 1.18-2403-18-1/1</t>
  </si>
  <si>
    <t>77</t>
  </si>
  <si>
    <t>1.18-2403-18-3/1</t>
  </si>
  <si>
    <t>Техническое обслуживание наружных блоков сплит систем мощностью до 10 кВт - полугодовое</t>
  </si>
  <si>
    <t>СН-2012.1 Выпуск № 5 (в текущих ценах по состоянию на 01.10.2025 г.). 1.18-2403-18-3/1</t>
  </si>
  <si>
    <t>1.18-2403-17-3/1</t>
  </si>
  <si>
    <t>Техническое обслуживание внутренних кассетных блоков сплит систем мощностью до 5 кВт - полугодовое</t>
  </si>
  <si>
    <t>СН-2012.1 Выпуск № 5 (в текущих ценах по состоянию на 01.10.2025 г.). 1.18-2403-17-3/1</t>
  </si>
  <si>
    <t>1.18-2403-17-1/1</t>
  </si>
  <si>
    <t>Техническое обслуживание внутренних кассетных блоков сплит систем мощностью до 5 кВт - ежемесячное</t>
  </si>
  <si>
    <t>СН-2012.1 Выпуск № 5 (в текущих ценах по состоянию на 01.10.2025 г.). 1.18-2403-17-1/1</t>
  </si>
  <si>
    <t>)*6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</si>
  <si>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</si>
  <si>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</si>
  <si>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</si>
  <si>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</si>
  <si>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</si>
  <si>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</si>
  <si>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</si>
  <si>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</si>
  <si>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</si>
  <si>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</si>
  <si>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Техническое обслуживание силовых сетей, проложенных по кирпичным и бетонным основаниям, провод сечением 3х1,5-6 мм2 / кабель греющий</t>
  </si>
  <si>
    <t>Технический осмотр силовых сетей, проложенных по кирпичным и бетонным основаниям, провод сечением 3х1,5-6 мм2 / кабель греющий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</si>
  <si>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</si>
  <si>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</si>
  <si>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</si>
  <si>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</si>
  <si>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</si>
  <si>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</si>
  <si>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</si>
  <si>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</si>
  <si>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</si>
  <si>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</si>
  <si>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</si>
  <si>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</si>
  <si>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</si>
  <si>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22.1-30-56</t>
  </si>
  <si>
    <t>СН-2012.22 Выпуск № 5 (в текущих ценах по состоянию на 01.10.2025 г.). 22.1-30-56</t>
  </si>
  <si>
    <t>Шуруповерты</t>
  </si>
  <si>
    <t>маш.-ч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</si>
  <si>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</si>
  <si>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</si>
  <si>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</si>
  <si>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</si>
  <si>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21.1-11-125</t>
  </si>
  <si>
    <t>Шурупы с потайной головкой, черные, размер 8,0х100 мм</t>
  </si>
  <si>
    <t>кг</t>
  </si>
  <si>
    <t>21.1-11-51</t>
  </si>
  <si>
    <t>Дюбели с насаженными шайбами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</si>
  <si>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</si>
  <si>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</si>
  <si>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</si>
  <si>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</si>
  <si>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</si>
  <si>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</si>
  <si>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</si>
  <si>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</si>
  <si>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</si>
  <si>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</si>
  <si>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</si>
  <si>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</si>
  <si>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</si>
  <si>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</si>
  <si>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21.1-24-22</t>
  </si>
  <si>
    <t>СН-2012.21 Выпуск № 5 (в текущих ценах по состоянию на 01.10.2025 г.). 21.1-24-22</t>
  </si>
  <si>
    <t>Средство кислотное высококонцентрированное бактерицидное пенное для очистки и дезинфекции, рН 2-3</t>
  </si>
  <si>
    <t>21.1-20-7</t>
  </si>
  <si>
    <t>СН-2012.21 Выпуск № 5 (в текущих ценах по состоянию на 01.10.2025 г.). 21.1-20-7</t>
  </si>
  <si>
    <t>Ветошь</t>
  </si>
  <si>
    <t>22.1-4-58</t>
  </si>
  <si>
    <t>СН-2012.22 Выпуск № 5 (в текущих ценах по состоянию на 01.10.2025 г.). 22.1-4-58</t>
  </si>
  <si>
    <t>Тельферы электрические, грузоподъемность до 1 т</t>
  </si>
  <si>
    <t>21.1-25-137</t>
  </si>
  <si>
    <t>СН-2012.21 Выпуск № 5 (в текущих ценах по состоянию на 01.10.2025 г.). 21.1-25-137</t>
  </si>
  <si>
    <t>Лента изоляционная ПВХ, размер 15х0,2 мм</t>
  </si>
  <si>
    <t>21.1-4-29</t>
  </si>
  <si>
    <t>СН-2012.21 Выпуск № 5 (в текущих ценах по состоянию на 01.10.2025 г.). 21.1-4-29</t>
  </si>
  <si>
    <t>Парафин высокотекучий (масло парафиновое)</t>
  </si>
  <si>
    <t>21.1-4-64</t>
  </si>
  <si>
    <t>СН-2012.21 Выпуск № 5 (в текущих ценах по состоянию на 01.10.2025 г.). 21.1-4-64</t>
  </si>
  <si>
    <t>Масло индустриальное медицинское белое на основе парафинов</t>
  </si>
  <si>
    <t>21.1-4-42</t>
  </si>
  <si>
    <t>СН-2012.21 Выпуск № 5 (в текущих ценах по состоянию на 01.10.2025 г.). 21.1-4-42</t>
  </si>
  <si>
    <t>Смазка пластичная, антифрикционная, многоцелевая, водостойкая Литол-24</t>
  </si>
  <si>
    <t>21.1-6-114</t>
  </si>
  <si>
    <t>СН-2012.21 Выпуск № 5 (в текущих ценах по состоянию на 01.10.2025 г.). 21.1-6-114</t>
  </si>
  <si>
    <t>Растворитель уайт-спирит (нефрас-С4 - 155/200)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</si>
  <si>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</si>
  <si>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</si>
  <si>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</si>
  <si>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21.1-4-3</t>
  </si>
  <si>
    <t>Бензин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</si>
  <si>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</si>
  <si>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</si>
  <si>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</si>
  <si>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</si>
  <si>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</si>
  <si>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</si>
  <si>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21.1-24-23</t>
  </si>
  <si>
    <t>СН-2012.21 Выпуск № 5 (в текущих ценах по состоянию на 01.10.2025 г.). 21.1-24-23</t>
  </si>
  <si>
    <t>Средство кислотное гелеобразное высококонцентрированное бактерицидное для очистки и дезинфекции, типа "Мегасан М"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</si>
  <si>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</si>
  <si>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</si>
  <si>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</si>
  <si>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</si>
  <si>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</si>
  <si>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</si>
  <si>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</si>
  <si>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</si>
  <si>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</si>
  <si>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</si>
  <si>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</si>
  <si>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</si>
  <si>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</si>
  <si>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</si>
  <si>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</si>
  <si>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</si>
  <si>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</si>
  <si>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</si>
  <si>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</si>
  <si>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</si>
  <si>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</si>
  <si>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</si>
  <si>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</si>
  <si>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</si>
  <si>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</si>
  <si>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</si>
  <si>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</si>
  <si>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</si>
  <si>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</si>
  <si>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</si>
  <si>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</si>
  <si>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</si>
  <si>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</si>
  <si>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</si>
  <si>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</si>
  <si>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</si>
  <si>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</si>
  <si>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</si>
  <si>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</si>
  <si>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</si>
  <si>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</si>
  <si>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</si>
  <si>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</si>
  <si>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</si>
  <si>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</si>
  <si>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</si>
  <si>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</si>
  <si>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</si>
  <si>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</si>
  <si>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вывеска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</si>
  <si>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</si>
  <si>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наружные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</si>
  <si>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1.20-2103-19-2/1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</si>
  <si>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годовое светильника светодиодного потолочного типа Arctic 1200 / внутренние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</si>
  <si>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</si>
  <si>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</si>
  <si>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</si>
  <si>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</si>
  <si>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</si>
  <si>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</si>
  <si>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</si>
  <si>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</si>
  <si>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</si>
  <si>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</si>
  <si>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</si>
  <si>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</si>
  <si>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</si>
  <si>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</si>
  <si>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</si>
  <si>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</si>
  <si>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</si>
  <si>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</si>
  <si>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</si>
  <si>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</si>
  <si>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</si>
  <si>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</si>
  <si>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</si>
  <si>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</si>
  <si>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</si>
  <si>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</si>
  <si>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</si>
  <si>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</si>
  <si>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</si>
  <si>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</si>
  <si>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</si>
  <si>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</si>
  <si>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</si>
  <si>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</si>
  <si>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</si>
  <si>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</t>
  </si>
  <si>
    <t xml:space="preserve">Итого по КС-2:  </t>
  </si>
  <si>
    <t>НДС, 22%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</si>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</sst>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165" fontId="16" fillId="0" borderId="0" xfId="0" applyNumberFormat="1" applyFont="1" applyAlignment="1">
      <alignment horizontal="right"/>
    </xf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84"/>
  <sheetViews>
    <sheetView tabSelected="1" view="pageBreakPreview" topLeftCell="A846" zoomScale="96" zoomScaleNormal="100" zoomScaleSheetLayoutView="96" workbookViewId="0">
      <selection activeCell="J875" sqref="J875:J876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6" width="11.7109375" customWidth="1"/>
    <col min="7" max="7" width="12.7109375" customWidth="1"/>
    <col min="8" max="8" width="16.7109375" customWidth="1"/>
    <col min="9" max="9" width="12.7109375" customWidth="1"/>
    <col min="10" max="10" width="14.7109375" customWidth="1"/>
    <col min="11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1" t="s">
        <v>436</v>
      </c>
      <c r="K2" s="41"/>
    </row>
    <row r="3" spans="1:11" ht="16.5" x14ac:dyDescent="0.25">
      <c r="A3" s="11"/>
      <c r="B3" s="46" t="s">
        <v>434</v>
      </c>
      <c r="C3" s="46"/>
      <c r="D3" s="46"/>
      <c r="E3" s="46"/>
      <c r="F3" s="10"/>
      <c r="G3" s="46" t="s">
        <v>435</v>
      </c>
      <c r="H3" s="46"/>
      <c r="I3" s="46"/>
      <c r="J3" s="46"/>
      <c r="K3" s="46"/>
    </row>
    <row r="4" spans="1:11" ht="14.25" x14ac:dyDescent="0.2">
      <c r="A4" s="10"/>
      <c r="B4" s="47"/>
      <c r="C4" s="47"/>
      <c r="D4" s="47"/>
      <c r="E4" s="47"/>
      <c r="F4" s="10"/>
      <c r="G4" s="47"/>
      <c r="H4" s="47"/>
      <c r="I4" s="47"/>
      <c r="J4" s="47"/>
      <c r="K4" s="47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7" t="str">
        <f>CONCATENATE("______________________ ", IF(Source!AL12&lt;&gt;"", Source!AL12, ""))</f>
        <v xml:space="preserve">______________________ </v>
      </c>
      <c r="C6" s="47"/>
      <c r="D6" s="47"/>
      <c r="E6" s="47"/>
      <c r="F6" s="10"/>
      <c r="G6" s="47" t="str">
        <f>CONCATENATE("______________________ ", IF(Source!AH12&lt;&gt;"", Source!AH12, ""))</f>
        <v xml:space="preserve">______________________ </v>
      </c>
      <c r="H6" s="47"/>
      <c r="I6" s="47"/>
      <c r="J6" s="47"/>
      <c r="K6" s="47"/>
    </row>
    <row r="7" spans="1:11" ht="14.25" x14ac:dyDescent="0.2">
      <c r="A7" s="13"/>
      <c r="B7" s="40" t="s">
        <v>437</v>
      </c>
      <c r="C7" s="40"/>
      <c r="D7" s="40"/>
      <c r="E7" s="40"/>
      <c r="F7" s="10"/>
      <c r="G7" s="40" t="s">
        <v>437</v>
      </c>
      <c r="H7" s="40"/>
      <c r="I7" s="40"/>
      <c r="J7" s="40"/>
      <c r="K7" s="40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42" t="str">
        <f>CONCATENATE( "ЛОКАЛЬНАЯ СМЕТА № ",IF(Source!F12&lt;&gt;"Новый объект", Source!F12, ""))</f>
        <v xml:space="preserve">ЛОКАЛЬНАЯ СМЕТА № 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x14ac:dyDescent="0.2">
      <c r="A11" s="44" t="s">
        <v>438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49" t="str">
        <f>IF(Source!G12&lt;&gt;"Новый объект", Source!G12, "")</f>
        <v>Офис продакшн и туалетные модули_на 4 мес. (10%) испр.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</row>
    <row r="16" spans="1:11" x14ac:dyDescent="0.2">
      <c r="A16" s="44" t="s">
        <v>439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0" t="str">
        <f>CONCATENATE( "Основание: чертежи № ", Source!J12)</f>
        <v xml:space="preserve">Основание: чертежи № 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7" t="s">
        <v>440</v>
      </c>
      <c r="G20" s="47"/>
      <c r="H20" s="47"/>
      <c r="I20" s="48">
        <f>I874/1000</f>
        <v>1750.072989999999</v>
      </c>
      <c r="J20" s="41"/>
      <c r="K20" s="10" t="s">
        <v>441</v>
      </c>
    </row>
    <row r="21" spans="1:11" ht="14.25" hidden="1" x14ac:dyDescent="0.2">
      <c r="A21" s="10"/>
      <c r="B21" s="10"/>
      <c r="C21" s="10"/>
      <c r="D21" s="10"/>
      <c r="E21" s="10"/>
      <c r="F21" s="47" t="s">
        <v>442</v>
      </c>
      <c r="G21" s="47"/>
      <c r="H21" s="47"/>
      <c r="I21" s="48">
        <f>ROUND((Source!F834)/1000, 2)</f>
        <v>0</v>
      </c>
      <c r="J21" s="41"/>
      <c r="K21" s="10" t="s">
        <v>441</v>
      </c>
    </row>
    <row r="22" spans="1:11" ht="14.25" hidden="1" x14ac:dyDescent="0.2">
      <c r="A22" s="10"/>
      <c r="B22" s="10"/>
      <c r="C22" s="10"/>
      <c r="D22" s="10"/>
      <c r="E22" s="10"/>
      <c r="F22" s="47" t="s">
        <v>443</v>
      </c>
      <c r="G22" s="47"/>
      <c r="H22" s="47"/>
      <c r="I22" s="48">
        <f>ROUND((Source!F835)/1000, 2)</f>
        <v>0</v>
      </c>
      <c r="J22" s="41"/>
      <c r="K22" s="10" t="s">
        <v>441</v>
      </c>
    </row>
    <row r="23" spans="1:11" ht="14.25" hidden="1" x14ac:dyDescent="0.2">
      <c r="A23" s="10"/>
      <c r="B23" s="10"/>
      <c r="C23" s="10"/>
      <c r="D23" s="10"/>
      <c r="E23" s="10"/>
      <c r="F23" s="47" t="s">
        <v>444</v>
      </c>
      <c r="G23" s="47"/>
      <c r="H23" s="47"/>
      <c r="I23" s="48">
        <f>ROUND((Source!F826)/1000, 2)</f>
        <v>0</v>
      </c>
      <c r="J23" s="41"/>
      <c r="K23" s="10" t="s">
        <v>441</v>
      </c>
    </row>
    <row r="24" spans="1:11" ht="14.25" hidden="1" x14ac:dyDescent="0.2">
      <c r="A24" s="10"/>
      <c r="B24" s="10"/>
      <c r="C24" s="10"/>
      <c r="D24" s="10"/>
      <c r="E24" s="10"/>
      <c r="F24" s="47" t="s">
        <v>445</v>
      </c>
      <c r="G24" s="47"/>
      <c r="H24" s="47"/>
      <c r="I24" s="48">
        <f>ROUND((Source!F836+Source!F837)/1000, 2)</f>
        <v>1750.07</v>
      </c>
      <c r="J24" s="41"/>
      <c r="K24" s="10" t="s">
        <v>441</v>
      </c>
    </row>
    <row r="25" spans="1:11" ht="14.25" x14ac:dyDescent="0.2">
      <c r="A25" s="10"/>
      <c r="B25" s="10"/>
      <c r="C25" s="10"/>
      <c r="D25" s="10"/>
      <c r="E25" s="10"/>
      <c r="F25" s="47" t="s">
        <v>446</v>
      </c>
      <c r="G25" s="47"/>
      <c r="H25" s="47"/>
      <c r="I25" s="48">
        <f>(Source!F832+ Source!F831)/1000</f>
        <v>871.02048000000002</v>
      </c>
      <c r="J25" s="41"/>
      <c r="K25" s="10" t="s">
        <v>441</v>
      </c>
    </row>
    <row r="26" spans="1:11" ht="14.25" x14ac:dyDescent="0.2">
      <c r="A26" s="10" t="s">
        <v>460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1" t="s">
        <v>447</v>
      </c>
      <c r="B27" s="51" t="s">
        <v>448</v>
      </c>
      <c r="C27" s="51" t="s">
        <v>449</v>
      </c>
      <c r="D27" s="51" t="s">
        <v>450</v>
      </c>
      <c r="E27" s="51" t="s">
        <v>451</v>
      </c>
      <c r="F27" s="51" t="s">
        <v>452</v>
      </c>
      <c r="G27" s="51" t="s">
        <v>453</v>
      </c>
      <c r="H27" s="51" t="s">
        <v>454</v>
      </c>
      <c r="I27" s="51" t="s">
        <v>455</v>
      </c>
      <c r="J27" s="51" t="s">
        <v>456</v>
      </c>
      <c r="K27" s="16" t="s">
        <v>457</v>
      </c>
    </row>
    <row r="28" spans="1:11" ht="28.5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17" t="s">
        <v>458</v>
      </c>
    </row>
    <row r="29" spans="1:11" ht="28.5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17" t="s">
        <v>459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54" t="str">
        <f>CONCATENATE("Локальная смета: ",IF(Source!G20&lt;&gt;"Новая локальная смета", Source!G20, ""))</f>
        <v xml:space="preserve">Локальная смета: 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4" spans="1:22" ht="16.5" x14ac:dyDescent="0.25">
      <c r="A34" s="54" t="str">
        <f>CONCATENATE("Раздел: ",IF(Source!G24&lt;&gt;"Новый раздел", Source!G24, ""))</f>
        <v>Раздел: Туалетные модули 3 кабины в блоке. (15 модулей.)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</row>
    <row r="36" spans="1:22" ht="16.5" x14ac:dyDescent="0.25">
      <c r="A36" s="54" t="str">
        <f>CONCATENATE("Подраздел: ",IF(Source!G28&lt;&gt;"Новый подраздел", Source!G28, ""))</f>
        <v>Подраздел: Оборудование водоснабжения и водоотведения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</row>
    <row r="37" spans="1:22" ht="28.5" x14ac:dyDescent="0.2">
      <c r="A37" s="18">
        <v>1</v>
      </c>
      <c r="B37" s="18" t="str">
        <f>Source!F34</f>
        <v>1.16-3201-2-1/1</v>
      </c>
      <c r="C37" s="18" t="str">
        <f>Source!G34</f>
        <v>Укрепление расшатавшихся санитарно-технических приборов - умывальники</v>
      </c>
      <c r="D37" s="19" t="str">
        <f>Source!H34</f>
        <v>100 шт.</v>
      </c>
      <c r="E37" s="9">
        <f>Source!I34</f>
        <v>0.45</v>
      </c>
      <c r="F37" s="21"/>
      <c r="G37" s="20"/>
      <c r="H37" s="9"/>
      <c r="I37" s="9"/>
      <c r="J37" s="21"/>
      <c r="K37" s="21"/>
      <c r="Q37">
        <f>ROUND((Source!BZ34/100)*ROUND((Source!AF34*Source!AV34)*Source!I34, 2), 2)</f>
        <v>16674.650000000001</v>
      </c>
      <c r="R37">
        <f>Source!X34</f>
        <v>16674.650000000001</v>
      </c>
      <c r="S37">
        <f>ROUND((Source!CA34/100)*ROUND((Source!AF34*Source!AV34)*Source!I34, 2), 2)</f>
        <v>2382.09</v>
      </c>
      <c r="T37">
        <f>Source!Y34</f>
        <v>2382.09</v>
      </c>
      <c r="U37">
        <f>ROUND((175/100)*ROUND((Source!AE34*Source!AV34)*Source!I34, 2), 2)</f>
        <v>0.56000000000000005</v>
      </c>
      <c r="V37">
        <f>ROUND((108/100)*ROUND(Source!CS34*Source!I34, 2), 2)</f>
        <v>0.35</v>
      </c>
    </row>
    <row r="38" spans="1:22" x14ac:dyDescent="0.2">
      <c r="C38" s="22" t="str">
        <f>"Объем: "&amp;Source!I34&amp;"=(15)*"&amp;"3/"&amp;"100"</f>
        <v>Объем: 0,45=(15)*3/100</v>
      </c>
    </row>
    <row r="39" spans="1:22" ht="14.25" x14ac:dyDescent="0.2">
      <c r="A39" s="18"/>
      <c r="B39" s="18"/>
      <c r="C39" s="18" t="s">
        <v>461</v>
      </c>
      <c r="D39" s="19"/>
      <c r="E39" s="9"/>
      <c r="F39" s="21">
        <f>Source!AO34</f>
        <v>52935.41</v>
      </c>
      <c r="G39" s="20" t="str">
        <f>Source!DG34</f>
        <v/>
      </c>
      <c r="H39" s="9">
        <f>Source!AV34</f>
        <v>1</v>
      </c>
      <c r="I39" s="9">
        <f>IF(Source!BA34&lt;&gt; 0, Source!BA34, 1)</f>
        <v>1</v>
      </c>
      <c r="J39" s="21">
        <f>Source!S34</f>
        <v>23820.93</v>
      </c>
      <c r="K39" s="21"/>
    </row>
    <row r="40" spans="1:22" ht="14.25" x14ac:dyDescent="0.2">
      <c r="A40" s="18"/>
      <c r="B40" s="18"/>
      <c r="C40" s="18" t="s">
        <v>462</v>
      </c>
      <c r="D40" s="19"/>
      <c r="E40" s="9"/>
      <c r="F40" s="21">
        <f>Source!AM34</f>
        <v>61.83</v>
      </c>
      <c r="G40" s="20" t="str">
        <f>Source!DE34</f>
        <v/>
      </c>
      <c r="H40" s="9">
        <f>Source!AV34</f>
        <v>1</v>
      </c>
      <c r="I40" s="9">
        <f>IF(Source!BB34&lt;&gt; 0, Source!BB34, 1)</f>
        <v>1</v>
      </c>
      <c r="J40" s="21">
        <f>Source!Q34</f>
        <v>27.82</v>
      </c>
      <c r="K40" s="21"/>
    </row>
    <row r="41" spans="1:22" ht="14.25" x14ac:dyDescent="0.2">
      <c r="A41" s="18"/>
      <c r="B41" s="18"/>
      <c r="C41" s="18" t="s">
        <v>463</v>
      </c>
      <c r="D41" s="19"/>
      <c r="E41" s="9"/>
      <c r="F41" s="21">
        <f>Source!AN34</f>
        <v>0.7</v>
      </c>
      <c r="G41" s="20" t="str">
        <f>Source!DF34</f>
        <v/>
      </c>
      <c r="H41" s="9">
        <f>Source!AV34</f>
        <v>1</v>
      </c>
      <c r="I41" s="9">
        <f>IF(Source!BS34&lt;&gt; 0, Source!BS34, 1)</f>
        <v>1</v>
      </c>
      <c r="J41" s="23">
        <f>Source!R34</f>
        <v>0.32</v>
      </c>
      <c r="K41" s="21"/>
    </row>
    <row r="42" spans="1:22" ht="14.25" x14ac:dyDescent="0.2">
      <c r="A42" s="18"/>
      <c r="B42" s="18"/>
      <c r="C42" s="18" t="s">
        <v>464</v>
      </c>
      <c r="D42" s="19"/>
      <c r="E42" s="9"/>
      <c r="F42" s="21">
        <f>Source!AL34</f>
        <v>776.55</v>
      </c>
      <c r="G42" s="20" t="str">
        <f>Source!DD34</f>
        <v/>
      </c>
      <c r="H42" s="9">
        <f>Source!AW34</f>
        <v>1</v>
      </c>
      <c r="I42" s="9">
        <f>IF(Source!BC34&lt;&gt; 0, Source!BC34, 1)</f>
        <v>1</v>
      </c>
      <c r="J42" s="21">
        <f>Source!P34</f>
        <v>349.45</v>
      </c>
      <c r="K42" s="21"/>
    </row>
    <row r="43" spans="1:22" ht="14.25" x14ac:dyDescent="0.2">
      <c r="A43" s="18"/>
      <c r="B43" s="18"/>
      <c r="C43" s="18" t="s">
        <v>465</v>
      </c>
      <c r="D43" s="19" t="s">
        <v>466</v>
      </c>
      <c r="E43" s="9">
        <f>Source!AT34</f>
        <v>70</v>
      </c>
      <c r="F43" s="21"/>
      <c r="G43" s="20"/>
      <c r="H43" s="9"/>
      <c r="I43" s="9"/>
      <c r="J43" s="21">
        <f>SUM(R37:R42)</f>
        <v>16674.650000000001</v>
      </c>
      <c r="K43" s="21"/>
    </row>
    <row r="44" spans="1:22" ht="14.25" x14ac:dyDescent="0.2">
      <c r="A44" s="18"/>
      <c r="B44" s="18"/>
      <c r="C44" s="18" t="s">
        <v>467</v>
      </c>
      <c r="D44" s="19" t="s">
        <v>466</v>
      </c>
      <c r="E44" s="9">
        <f>Source!AU34</f>
        <v>10</v>
      </c>
      <c r="F44" s="21"/>
      <c r="G44" s="20"/>
      <c r="H44" s="9"/>
      <c r="I44" s="9"/>
      <c r="J44" s="21">
        <f>SUM(T37:T43)</f>
        <v>2382.09</v>
      </c>
      <c r="K44" s="21"/>
    </row>
    <row r="45" spans="1:22" ht="14.25" x14ac:dyDescent="0.2">
      <c r="A45" s="18"/>
      <c r="B45" s="18"/>
      <c r="C45" s="18" t="s">
        <v>468</v>
      </c>
      <c r="D45" s="19" t="s">
        <v>466</v>
      </c>
      <c r="E45" s="9">
        <f>108</f>
        <v>108</v>
      </c>
      <c r="F45" s="21"/>
      <c r="G45" s="20"/>
      <c r="H45" s="9"/>
      <c r="I45" s="9"/>
      <c r="J45" s="21">
        <f>SUM(V37:V44)</f>
        <v>0.35</v>
      </c>
      <c r="K45" s="21"/>
    </row>
    <row r="46" spans="1:22" ht="14.25" x14ac:dyDescent="0.2">
      <c r="A46" s="18"/>
      <c r="B46" s="18"/>
      <c r="C46" s="18" t="s">
        <v>469</v>
      </c>
      <c r="D46" s="19" t="s">
        <v>470</v>
      </c>
      <c r="E46" s="9">
        <f>Source!AQ34</f>
        <v>104.44</v>
      </c>
      <c r="F46" s="21"/>
      <c r="G46" s="20" t="str">
        <f>Source!DI34</f>
        <v/>
      </c>
      <c r="H46" s="9">
        <f>Source!AV34</f>
        <v>1</v>
      </c>
      <c r="I46" s="9"/>
      <c r="J46" s="21"/>
      <c r="K46" s="21">
        <f>Source!U34</f>
        <v>46.997999999999998</v>
      </c>
    </row>
    <row r="47" spans="1:22" ht="15" x14ac:dyDescent="0.25">
      <c r="A47" s="26"/>
      <c r="B47" s="26"/>
      <c r="C47" s="26"/>
      <c r="D47" s="26"/>
      <c r="E47" s="26"/>
      <c r="F47" s="26"/>
      <c r="G47" s="26"/>
      <c r="H47" s="26"/>
      <c r="I47" s="53">
        <f>J39+J40+J42+J43+J44+J45</f>
        <v>43255.29</v>
      </c>
      <c r="J47" s="53"/>
      <c r="K47" s="27">
        <f>IF(Source!I34&lt;&gt;0, ROUND(I47/Source!I34, 2), 0)</f>
        <v>96122.87</v>
      </c>
      <c r="P47" s="24">
        <f>I47</f>
        <v>43255.29</v>
      </c>
    </row>
    <row r="48" spans="1:22" ht="42.75" x14ac:dyDescent="0.2">
      <c r="A48" s="18">
        <v>2</v>
      </c>
      <c r="B48" s="18" t="str">
        <f>Source!F35</f>
        <v>1.16-3201-2-2/1</v>
      </c>
      <c r="C48" s="18" t="str">
        <f>Source!G35</f>
        <v>Укрепление расшатавшихся санитарно-технических приборов - унитазы и биде</v>
      </c>
      <c r="D48" s="19" t="str">
        <f>Source!H35</f>
        <v>100 шт.</v>
      </c>
      <c r="E48" s="9">
        <f>Source!I35</f>
        <v>0.45</v>
      </c>
      <c r="F48" s="21"/>
      <c r="G48" s="20"/>
      <c r="H48" s="9"/>
      <c r="I48" s="9"/>
      <c r="J48" s="21"/>
      <c r="K48" s="21"/>
      <c r="Q48">
        <f>ROUND((Source!BZ35/100)*ROUND((Source!AF35*Source!AV35)*Source!I35, 2), 2)</f>
        <v>24256.799999999999</v>
      </c>
      <c r="R48">
        <f>Source!X35</f>
        <v>24256.799999999999</v>
      </c>
      <c r="S48">
        <f>ROUND((Source!CA35/100)*ROUND((Source!AF35*Source!AV35)*Source!I35, 2), 2)</f>
        <v>3465.26</v>
      </c>
      <c r="T48">
        <f>Source!Y35</f>
        <v>3465.26</v>
      </c>
      <c r="U48">
        <f>ROUND((175/100)*ROUND((Source!AE35*Source!AV35)*Source!I35, 2), 2)</f>
        <v>0.56000000000000005</v>
      </c>
      <c r="V48">
        <f>ROUND((108/100)*ROUND(Source!CS35*Source!I35, 2), 2)</f>
        <v>0.35</v>
      </c>
    </row>
    <row r="49" spans="1:22" x14ac:dyDescent="0.2">
      <c r="C49" s="22" t="str">
        <f>"Объем: "&amp;Source!I35&amp;"=(15)*"&amp;"3/"&amp;"100"</f>
        <v>Объем: 0,45=(15)*3/100</v>
      </c>
    </row>
    <row r="50" spans="1:22" ht="14.25" x14ac:dyDescent="0.2">
      <c r="A50" s="18"/>
      <c r="B50" s="18"/>
      <c r="C50" s="18" t="s">
        <v>461</v>
      </c>
      <c r="D50" s="19"/>
      <c r="E50" s="9"/>
      <c r="F50" s="21">
        <f>Source!AO35</f>
        <v>77005.72</v>
      </c>
      <c r="G50" s="20" t="str">
        <f>Source!DG35</f>
        <v/>
      </c>
      <c r="H50" s="9">
        <f>Source!AV35</f>
        <v>1</v>
      </c>
      <c r="I50" s="9">
        <f>IF(Source!BA35&lt;&gt; 0, Source!BA35, 1)</f>
        <v>1</v>
      </c>
      <c r="J50" s="21">
        <f>Source!S35</f>
        <v>34652.57</v>
      </c>
      <c r="K50" s="21"/>
    </row>
    <row r="51" spans="1:22" ht="14.25" x14ac:dyDescent="0.2">
      <c r="A51" s="18"/>
      <c r="B51" s="18"/>
      <c r="C51" s="18" t="s">
        <v>462</v>
      </c>
      <c r="D51" s="19"/>
      <c r="E51" s="9"/>
      <c r="F51" s="21">
        <f>Source!AM35</f>
        <v>61.83</v>
      </c>
      <c r="G51" s="20" t="str">
        <f>Source!DE35</f>
        <v/>
      </c>
      <c r="H51" s="9">
        <f>Source!AV35</f>
        <v>1</v>
      </c>
      <c r="I51" s="9">
        <f>IF(Source!BB35&lt;&gt; 0, Source!BB35, 1)</f>
        <v>1</v>
      </c>
      <c r="J51" s="21">
        <f>Source!Q35</f>
        <v>27.82</v>
      </c>
      <c r="K51" s="21"/>
    </row>
    <row r="52" spans="1:22" ht="14.25" x14ac:dyDescent="0.2">
      <c r="A52" s="18"/>
      <c r="B52" s="18"/>
      <c r="C52" s="18" t="s">
        <v>463</v>
      </c>
      <c r="D52" s="19"/>
      <c r="E52" s="9"/>
      <c r="F52" s="21">
        <f>Source!AN35</f>
        <v>0.7</v>
      </c>
      <c r="G52" s="20" t="str">
        <f>Source!DF35</f>
        <v/>
      </c>
      <c r="H52" s="9">
        <f>Source!AV35</f>
        <v>1</v>
      </c>
      <c r="I52" s="9">
        <f>IF(Source!BS35&lt;&gt; 0, Source!BS35, 1)</f>
        <v>1</v>
      </c>
      <c r="J52" s="23">
        <f>Source!R35</f>
        <v>0.32</v>
      </c>
      <c r="K52" s="21"/>
    </row>
    <row r="53" spans="1:22" ht="14.25" x14ac:dyDescent="0.2">
      <c r="A53" s="18"/>
      <c r="B53" s="18"/>
      <c r="C53" s="18" t="s">
        <v>464</v>
      </c>
      <c r="D53" s="19"/>
      <c r="E53" s="9"/>
      <c r="F53" s="21">
        <f>Source!AL35</f>
        <v>776.55</v>
      </c>
      <c r="G53" s="20" t="str">
        <f>Source!DD35</f>
        <v/>
      </c>
      <c r="H53" s="9">
        <f>Source!AW35</f>
        <v>1</v>
      </c>
      <c r="I53" s="9">
        <f>IF(Source!BC35&lt;&gt; 0, Source!BC35, 1)</f>
        <v>1</v>
      </c>
      <c r="J53" s="21">
        <f>Source!P35</f>
        <v>349.45</v>
      </c>
      <c r="K53" s="21"/>
    </row>
    <row r="54" spans="1:22" ht="14.25" x14ac:dyDescent="0.2">
      <c r="A54" s="18"/>
      <c r="B54" s="18"/>
      <c r="C54" s="18" t="s">
        <v>465</v>
      </c>
      <c r="D54" s="19" t="s">
        <v>466</v>
      </c>
      <c r="E54" s="9">
        <f>Source!AT35</f>
        <v>70</v>
      </c>
      <c r="F54" s="21"/>
      <c r="G54" s="20"/>
      <c r="H54" s="9"/>
      <c r="I54" s="9"/>
      <c r="J54" s="21">
        <f>SUM(R48:R53)</f>
        <v>24256.799999999999</v>
      </c>
      <c r="K54" s="21"/>
    </row>
    <row r="55" spans="1:22" ht="14.25" x14ac:dyDescent="0.2">
      <c r="A55" s="18"/>
      <c r="B55" s="18"/>
      <c r="C55" s="18" t="s">
        <v>467</v>
      </c>
      <c r="D55" s="19" t="s">
        <v>466</v>
      </c>
      <c r="E55" s="9">
        <f>Source!AU35</f>
        <v>10</v>
      </c>
      <c r="F55" s="21"/>
      <c r="G55" s="20"/>
      <c r="H55" s="9"/>
      <c r="I55" s="9"/>
      <c r="J55" s="21">
        <f>SUM(T48:T54)</f>
        <v>3465.26</v>
      </c>
      <c r="K55" s="21"/>
    </row>
    <row r="56" spans="1:22" ht="14.25" x14ac:dyDescent="0.2">
      <c r="A56" s="18"/>
      <c r="B56" s="18"/>
      <c r="C56" s="18" t="s">
        <v>468</v>
      </c>
      <c r="D56" s="19" t="s">
        <v>466</v>
      </c>
      <c r="E56" s="9">
        <f>108</f>
        <v>108</v>
      </c>
      <c r="F56" s="21"/>
      <c r="G56" s="20"/>
      <c r="H56" s="9"/>
      <c r="I56" s="9"/>
      <c r="J56" s="21">
        <f>SUM(V48:V55)</f>
        <v>0.35</v>
      </c>
      <c r="K56" s="21"/>
    </row>
    <row r="57" spans="1:22" ht="14.25" x14ac:dyDescent="0.2">
      <c r="A57" s="18"/>
      <c r="B57" s="18"/>
      <c r="C57" s="18" t="s">
        <v>469</v>
      </c>
      <c r="D57" s="19" t="s">
        <v>470</v>
      </c>
      <c r="E57" s="9">
        <f>Source!AQ35</f>
        <v>151.93</v>
      </c>
      <c r="F57" s="21"/>
      <c r="G57" s="20" t="str">
        <f>Source!DI35</f>
        <v/>
      </c>
      <c r="H57" s="9">
        <f>Source!AV35</f>
        <v>1</v>
      </c>
      <c r="I57" s="9"/>
      <c r="J57" s="21"/>
      <c r="K57" s="21">
        <f>Source!U35</f>
        <v>68.368500000000012</v>
      </c>
    </row>
    <row r="58" spans="1:22" ht="15" x14ac:dyDescent="0.25">
      <c r="A58" s="26"/>
      <c r="B58" s="26"/>
      <c r="C58" s="26"/>
      <c r="D58" s="26"/>
      <c r="E58" s="26"/>
      <c r="F58" s="26"/>
      <c r="G58" s="26"/>
      <c r="H58" s="26"/>
      <c r="I58" s="53">
        <f>J50+J51+J53+J54+J55+J56</f>
        <v>62752.25</v>
      </c>
      <c r="J58" s="53"/>
      <c r="K58" s="27">
        <f>IF(Source!I35&lt;&gt;0, ROUND(I58/Source!I35, 2), 0)</f>
        <v>139449.44</v>
      </c>
      <c r="P58" s="24">
        <f>I58</f>
        <v>62752.25</v>
      </c>
    </row>
    <row r="59" spans="1:22" ht="42.75" x14ac:dyDescent="0.2">
      <c r="A59" s="18">
        <v>3</v>
      </c>
      <c r="B59" s="18" t="str">
        <f>Source!F37</f>
        <v>1.23-2103-41-1/1</v>
      </c>
      <c r="C59" s="18" t="str">
        <f>Source!G37</f>
        <v>Техническое обслуживание регулирующего клапана / Смеситель для раковины</v>
      </c>
      <c r="D59" s="19" t="str">
        <f>Source!H37</f>
        <v>шт.</v>
      </c>
      <c r="E59" s="9">
        <f>Source!I37</f>
        <v>45</v>
      </c>
      <c r="F59" s="21"/>
      <c r="G59" s="20"/>
      <c r="H59" s="9"/>
      <c r="I59" s="9"/>
      <c r="J59" s="21"/>
      <c r="K59" s="21"/>
      <c r="Q59">
        <f>ROUND((Source!BZ37/100)*ROUND((Source!AF37*Source!AV37)*Source!I37, 2), 2)</f>
        <v>6552</v>
      </c>
      <c r="R59">
        <f>Source!X37</f>
        <v>6552</v>
      </c>
      <c r="S59">
        <f>ROUND((Source!CA37/100)*ROUND((Source!AF37*Source!AV37)*Source!I37, 2), 2)</f>
        <v>936</v>
      </c>
      <c r="T59">
        <f>Source!Y37</f>
        <v>936</v>
      </c>
      <c r="U59">
        <f>ROUND((175/100)*ROUND((Source!AE37*Source!AV37)*Source!I37, 2), 2)</f>
        <v>3903.64</v>
      </c>
      <c r="V59">
        <f>ROUND((108/100)*ROUND(Source!CS37*Source!I37, 2), 2)</f>
        <v>2409.1</v>
      </c>
    </row>
    <row r="60" spans="1:22" x14ac:dyDescent="0.2">
      <c r="C60" s="22" t="str">
        <f>"Объем: "&amp;Source!I37&amp;"=(15)*"&amp;"3"</f>
        <v>Объем: 45=(15)*3</v>
      </c>
    </row>
    <row r="61" spans="1:22" ht="14.25" x14ac:dyDescent="0.2">
      <c r="A61" s="18"/>
      <c r="B61" s="18"/>
      <c r="C61" s="18" t="s">
        <v>461</v>
      </c>
      <c r="D61" s="19"/>
      <c r="E61" s="9"/>
      <c r="F61" s="21">
        <f>Source!AO37</f>
        <v>208</v>
      </c>
      <c r="G61" s="20" t="str">
        <f>Source!DG37</f>
        <v/>
      </c>
      <c r="H61" s="9">
        <f>Source!AV37</f>
        <v>1</v>
      </c>
      <c r="I61" s="9">
        <f>IF(Source!BA37&lt;&gt; 0, Source!BA37, 1)</f>
        <v>1</v>
      </c>
      <c r="J61" s="21">
        <f>Source!S37</f>
        <v>9360</v>
      </c>
      <c r="K61" s="21"/>
    </row>
    <row r="62" spans="1:22" ht="14.25" x14ac:dyDescent="0.2">
      <c r="A62" s="18"/>
      <c r="B62" s="18"/>
      <c r="C62" s="18" t="s">
        <v>462</v>
      </c>
      <c r="D62" s="19"/>
      <c r="E62" s="9"/>
      <c r="F62" s="21">
        <f>Source!AM37</f>
        <v>78.180000000000007</v>
      </c>
      <c r="G62" s="20" t="str">
        <f>Source!DE37</f>
        <v/>
      </c>
      <c r="H62" s="9">
        <f>Source!AV37</f>
        <v>1</v>
      </c>
      <c r="I62" s="9">
        <f>IF(Source!BB37&lt;&gt; 0, Source!BB37, 1)</f>
        <v>1</v>
      </c>
      <c r="J62" s="21">
        <f>Source!Q37</f>
        <v>3518.1</v>
      </c>
      <c r="K62" s="21"/>
    </row>
    <row r="63" spans="1:22" ht="14.25" x14ac:dyDescent="0.2">
      <c r="A63" s="18"/>
      <c r="B63" s="18"/>
      <c r="C63" s="18" t="s">
        <v>463</v>
      </c>
      <c r="D63" s="19"/>
      <c r="E63" s="9"/>
      <c r="F63" s="21">
        <f>Source!AN37</f>
        <v>49.57</v>
      </c>
      <c r="G63" s="20" t="str">
        <f>Source!DF37</f>
        <v/>
      </c>
      <c r="H63" s="9">
        <f>Source!AV37</f>
        <v>1</v>
      </c>
      <c r="I63" s="9">
        <f>IF(Source!BS37&lt;&gt; 0, Source!BS37, 1)</f>
        <v>1</v>
      </c>
      <c r="J63" s="23">
        <f>Source!R37</f>
        <v>2230.65</v>
      </c>
      <c r="K63" s="21"/>
    </row>
    <row r="64" spans="1:22" ht="14.25" x14ac:dyDescent="0.2">
      <c r="A64" s="18"/>
      <c r="B64" s="18"/>
      <c r="C64" s="18" t="s">
        <v>465</v>
      </c>
      <c r="D64" s="19" t="s">
        <v>466</v>
      </c>
      <c r="E64" s="9">
        <f>Source!AT37</f>
        <v>70</v>
      </c>
      <c r="F64" s="21"/>
      <c r="G64" s="20"/>
      <c r="H64" s="9"/>
      <c r="I64" s="9"/>
      <c r="J64" s="21">
        <f>SUM(R59:R63)</f>
        <v>6552</v>
      </c>
      <c r="K64" s="21"/>
    </row>
    <row r="65" spans="1:22" ht="14.25" x14ac:dyDescent="0.2">
      <c r="A65" s="18"/>
      <c r="B65" s="18"/>
      <c r="C65" s="18" t="s">
        <v>467</v>
      </c>
      <c r="D65" s="19" t="s">
        <v>466</v>
      </c>
      <c r="E65" s="9">
        <f>Source!AU37</f>
        <v>10</v>
      </c>
      <c r="F65" s="21"/>
      <c r="G65" s="20"/>
      <c r="H65" s="9"/>
      <c r="I65" s="9"/>
      <c r="J65" s="21">
        <f>SUM(T59:T64)</f>
        <v>936</v>
      </c>
      <c r="K65" s="21"/>
    </row>
    <row r="66" spans="1:22" ht="14.25" x14ac:dyDescent="0.2">
      <c r="A66" s="18"/>
      <c r="B66" s="18"/>
      <c r="C66" s="18" t="s">
        <v>468</v>
      </c>
      <c r="D66" s="19" t="s">
        <v>466</v>
      </c>
      <c r="E66" s="9">
        <f>108</f>
        <v>108</v>
      </c>
      <c r="F66" s="21"/>
      <c r="G66" s="20"/>
      <c r="H66" s="9"/>
      <c r="I66" s="9"/>
      <c r="J66" s="21">
        <f>SUM(V59:V65)</f>
        <v>2409.1</v>
      </c>
      <c r="K66" s="21"/>
    </row>
    <row r="67" spans="1:22" ht="14.25" x14ac:dyDescent="0.2">
      <c r="A67" s="18"/>
      <c r="B67" s="18"/>
      <c r="C67" s="18" t="s">
        <v>469</v>
      </c>
      <c r="D67" s="19" t="s">
        <v>470</v>
      </c>
      <c r="E67" s="9">
        <f>Source!AQ37</f>
        <v>0.37</v>
      </c>
      <c r="F67" s="21"/>
      <c r="G67" s="20" t="str">
        <f>Source!DI37</f>
        <v/>
      </c>
      <c r="H67" s="9">
        <f>Source!AV37</f>
        <v>1</v>
      </c>
      <c r="I67" s="9"/>
      <c r="J67" s="21"/>
      <c r="K67" s="21">
        <f>Source!U37</f>
        <v>16.649999999999999</v>
      </c>
    </row>
    <row r="68" spans="1:22" ht="15" x14ac:dyDescent="0.25">
      <c r="A68" s="26"/>
      <c r="B68" s="26"/>
      <c r="C68" s="26"/>
      <c r="D68" s="26"/>
      <c r="E68" s="26"/>
      <c r="F68" s="26"/>
      <c r="G68" s="26"/>
      <c r="H68" s="26"/>
      <c r="I68" s="53">
        <f>J61+J62+J64+J65+J66</f>
        <v>22775.199999999997</v>
      </c>
      <c r="J68" s="53"/>
      <c r="K68" s="27">
        <f>IF(Source!I37&lt;&gt;0, ROUND(I68/Source!I37, 2), 0)</f>
        <v>506.12</v>
      </c>
      <c r="P68" s="24">
        <f>I68</f>
        <v>22775.199999999997</v>
      </c>
    </row>
    <row r="69" spans="1:22" ht="28.5" x14ac:dyDescent="0.2">
      <c r="A69" s="18">
        <v>4</v>
      </c>
      <c r="B69" s="18" t="str">
        <f>Source!F38</f>
        <v>1.16-3201-1-1/1</v>
      </c>
      <c r="C69" s="18" t="str">
        <f>Source!G38</f>
        <v>Регулировка смывного бачка</v>
      </c>
      <c r="D69" s="19" t="str">
        <f>Source!H38</f>
        <v>100 приборов</v>
      </c>
      <c r="E69" s="9">
        <f>Source!I38</f>
        <v>0.45</v>
      </c>
      <c r="F69" s="21"/>
      <c r="G69" s="20"/>
      <c r="H69" s="9"/>
      <c r="I69" s="9"/>
      <c r="J69" s="21"/>
      <c r="K69" s="21"/>
      <c r="Q69">
        <f>ROUND((Source!BZ38/100)*ROUND((Source!AF38*Source!AV38)*Source!I38, 2), 2)</f>
        <v>5007.28</v>
      </c>
      <c r="R69">
        <f>Source!X38</f>
        <v>5007.28</v>
      </c>
      <c r="S69">
        <f>ROUND((Source!CA38/100)*ROUND((Source!AF38*Source!AV38)*Source!I38, 2), 2)</f>
        <v>715.33</v>
      </c>
      <c r="T69">
        <f>Source!Y38</f>
        <v>715.33</v>
      </c>
      <c r="U69">
        <f>ROUND((175/100)*ROUND((Source!AE38*Source!AV38)*Source!I38, 2), 2)</f>
        <v>0</v>
      </c>
      <c r="V69">
        <f>ROUND((108/100)*ROUND(Source!CS38*Source!I38, 2), 2)</f>
        <v>0</v>
      </c>
    </row>
    <row r="70" spans="1:22" x14ac:dyDescent="0.2">
      <c r="C70" s="22" t="str">
        <f>"Объем: "&amp;Source!I38&amp;"=15*"&amp;"3/"&amp;"100"</f>
        <v>Объем: 0,45=15*3/100</v>
      </c>
    </row>
    <row r="71" spans="1:22" ht="14.25" x14ac:dyDescent="0.2">
      <c r="A71" s="18"/>
      <c r="B71" s="18"/>
      <c r="C71" s="18" t="s">
        <v>461</v>
      </c>
      <c r="D71" s="19"/>
      <c r="E71" s="9"/>
      <c r="F71" s="21">
        <f>Source!AO38</f>
        <v>15896.11</v>
      </c>
      <c r="G71" s="20" t="str">
        <f>Source!DG38</f>
        <v/>
      </c>
      <c r="H71" s="9">
        <f>Source!AV38</f>
        <v>1</v>
      </c>
      <c r="I71" s="9">
        <f>IF(Source!BA38&lt;&gt; 0, Source!BA38, 1)</f>
        <v>1</v>
      </c>
      <c r="J71" s="21">
        <f>Source!S38</f>
        <v>7153.25</v>
      </c>
      <c r="K71" s="21"/>
    </row>
    <row r="72" spans="1:22" ht="14.25" x14ac:dyDescent="0.2">
      <c r="A72" s="18"/>
      <c r="B72" s="18"/>
      <c r="C72" s="18" t="s">
        <v>465</v>
      </c>
      <c r="D72" s="19" t="s">
        <v>466</v>
      </c>
      <c r="E72" s="9">
        <f>Source!AT38</f>
        <v>70</v>
      </c>
      <c r="F72" s="21"/>
      <c r="G72" s="20"/>
      <c r="H72" s="9"/>
      <c r="I72" s="9"/>
      <c r="J72" s="21">
        <f>SUM(R69:R71)</f>
        <v>5007.28</v>
      </c>
      <c r="K72" s="21"/>
    </row>
    <row r="73" spans="1:22" ht="14.25" x14ac:dyDescent="0.2">
      <c r="A73" s="18"/>
      <c r="B73" s="18"/>
      <c r="C73" s="18" t="s">
        <v>467</v>
      </c>
      <c r="D73" s="19" t="s">
        <v>466</v>
      </c>
      <c r="E73" s="9">
        <f>Source!AU38</f>
        <v>10</v>
      </c>
      <c r="F73" s="21"/>
      <c r="G73" s="20"/>
      <c r="H73" s="9"/>
      <c r="I73" s="9"/>
      <c r="J73" s="21">
        <f>SUM(T69:T72)</f>
        <v>715.33</v>
      </c>
      <c r="K73" s="21"/>
    </row>
    <row r="74" spans="1:22" ht="14.25" x14ac:dyDescent="0.2">
      <c r="A74" s="18"/>
      <c r="B74" s="18"/>
      <c r="C74" s="18" t="s">
        <v>469</v>
      </c>
      <c r="D74" s="19" t="s">
        <v>470</v>
      </c>
      <c r="E74" s="9">
        <f>Source!AQ38</f>
        <v>26.7</v>
      </c>
      <c r="F74" s="21"/>
      <c r="G74" s="20" t="str">
        <f>Source!DI38</f>
        <v/>
      </c>
      <c r="H74" s="9">
        <f>Source!AV38</f>
        <v>1</v>
      </c>
      <c r="I74" s="9"/>
      <c r="J74" s="21"/>
      <c r="K74" s="21">
        <f>Source!U38</f>
        <v>12.015000000000001</v>
      </c>
    </row>
    <row r="75" spans="1:22" ht="15" x14ac:dyDescent="0.25">
      <c r="A75" s="26"/>
      <c r="B75" s="26"/>
      <c r="C75" s="26"/>
      <c r="D75" s="26"/>
      <c r="E75" s="26"/>
      <c r="F75" s="26"/>
      <c r="G75" s="26"/>
      <c r="H75" s="26"/>
      <c r="I75" s="53">
        <f>J71+J72+J73</f>
        <v>12875.859999999999</v>
      </c>
      <c r="J75" s="53"/>
      <c r="K75" s="27">
        <f>IF(Source!I38&lt;&gt;0, ROUND(I75/Source!I38, 2), 0)</f>
        <v>28613.02</v>
      </c>
      <c r="P75" s="24">
        <f>I75</f>
        <v>12875.859999999999</v>
      </c>
    </row>
    <row r="76" spans="1:22" ht="14.25" x14ac:dyDescent="0.2">
      <c r="A76" s="18">
        <v>5</v>
      </c>
      <c r="B76" s="18" t="str">
        <f>Source!F39</f>
        <v>1.16-2203-1-1/1</v>
      </c>
      <c r="C76" s="18" t="str">
        <f>Source!G39</f>
        <v>Прочистка сифонов</v>
      </c>
      <c r="D76" s="19" t="str">
        <f>Source!H39</f>
        <v>100 шт.</v>
      </c>
      <c r="E76" s="9">
        <f>Source!I39</f>
        <v>0.45</v>
      </c>
      <c r="F76" s="21"/>
      <c r="G76" s="20"/>
      <c r="H76" s="9"/>
      <c r="I76" s="9"/>
      <c r="J76" s="21"/>
      <c r="K76" s="21"/>
      <c r="Q76">
        <f>ROUND((Source!BZ39/100)*ROUND((Source!AF39*Source!AV39)*Source!I39, 2), 2)</f>
        <v>4473.6099999999997</v>
      </c>
      <c r="R76">
        <f>Source!X39</f>
        <v>4473.6099999999997</v>
      </c>
      <c r="S76">
        <f>ROUND((Source!CA39/100)*ROUND((Source!AF39*Source!AV39)*Source!I39, 2), 2)</f>
        <v>639.09</v>
      </c>
      <c r="T76">
        <f>Source!Y39</f>
        <v>639.09</v>
      </c>
      <c r="U76">
        <f>ROUND((175/100)*ROUND((Source!AE39*Source!AV39)*Source!I39, 2), 2)</f>
        <v>0</v>
      </c>
      <c r="V76">
        <f>ROUND((108/100)*ROUND(Source!CS39*Source!I39, 2), 2)</f>
        <v>0</v>
      </c>
    </row>
    <row r="77" spans="1:22" x14ac:dyDescent="0.2">
      <c r="C77" s="22" t="str">
        <f>"Объем: "&amp;Source!I39&amp;"=(15)*"&amp;"3/"&amp;"100"</f>
        <v>Объем: 0,45=(15)*3/100</v>
      </c>
    </row>
    <row r="78" spans="1:22" ht="14.25" x14ac:dyDescent="0.2">
      <c r="A78" s="18"/>
      <c r="B78" s="18"/>
      <c r="C78" s="18" t="s">
        <v>461</v>
      </c>
      <c r="D78" s="19"/>
      <c r="E78" s="9"/>
      <c r="F78" s="21">
        <f>Source!AO39</f>
        <v>14201.94</v>
      </c>
      <c r="G78" s="20" t="str">
        <f>Source!DG39</f>
        <v/>
      </c>
      <c r="H78" s="9">
        <f>Source!AV39</f>
        <v>1</v>
      </c>
      <c r="I78" s="9">
        <f>IF(Source!BA39&lt;&gt; 0, Source!BA39, 1)</f>
        <v>1</v>
      </c>
      <c r="J78" s="21">
        <f>Source!S39</f>
        <v>6390.87</v>
      </c>
      <c r="K78" s="21"/>
    </row>
    <row r="79" spans="1:22" ht="14.25" x14ac:dyDescent="0.2">
      <c r="A79" s="18"/>
      <c r="B79" s="18"/>
      <c r="C79" s="18" t="s">
        <v>464</v>
      </c>
      <c r="D79" s="19"/>
      <c r="E79" s="9"/>
      <c r="F79" s="21">
        <f>Source!AL39</f>
        <v>243.57</v>
      </c>
      <c r="G79" s="20" t="str">
        <f>Source!DD39</f>
        <v/>
      </c>
      <c r="H79" s="9">
        <f>Source!AW39</f>
        <v>1</v>
      </c>
      <c r="I79" s="9">
        <f>IF(Source!BC39&lt;&gt; 0, Source!BC39, 1)</f>
        <v>1</v>
      </c>
      <c r="J79" s="21">
        <f>Source!P39</f>
        <v>109.61</v>
      </c>
      <c r="K79" s="21"/>
    </row>
    <row r="80" spans="1:22" ht="14.25" x14ac:dyDescent="0.2">
      <c r="A80" s="18"/>
      <c r="B80" s="18"/>
      <c r="C80" s="18" t="s">
        <v>465</v>
      </c>
      <c r="D80" s="19" t="s">
        <v>466</v>
      </c>
      <c r="E80" s="9">
        <f>Source!AT39</f>
        <v>70</v>
      </c>
      <c r="F80" s="21"/>
      <c r="G80" s="20"/>
      <c r="H80" s="9"/>
      <c r="I80" s="9"/>
      <c r="J80" s="21">
        <f>SUM(R76:R79)</f>
        <v>4473.6099999999997</v>
      </c>
      <c r="K80" s="21"/>
    </row>
    <row r="81" spans="1:22" ht="14.25" x14ac:dyDescent="0.2">
      <c r="A81" s="18"/>
      <c r="B81" s="18"/>
      <c r="C81" s="18" t="s">
        <v>467</v>
      </c>
      <c r="D81" s="19" t="s">
        <v>466</v>
      </c>
      <c r="E81" s="9">
        <f>Source!AU39</f>
        <v>10</v>
      </c>
      <c r="F81" s="21"/>
      <c r="G81" s="20"/>
      <c r="H81" s="9"/>
      <c r="I81" s="9"/>
      <c r="J81" s="21">
        <f>SUM(T76:T80)</f>
        <v>639.09</v>
      </c>
      <c r="K81" s="21"/>
    </row>
    <row r="82" spans="1:22" ht="14.25" x14ac:dyDescent="0.2">
      <c r="A82" s="18"/>
      <c r="B82" s="18"/>
      <c r="C82" s="18" t="s">
        <v>469</v>
      </c>
      <c r="D82" s="19" t="s">
        <v>470</v>
      </c>
      <c r="E82" s="9">
        <f>Source!AQ39</f>
        <v>28.02</v>
      </c>
      <c r="F82" s="21"/>
      <c r="G82" s="20" t="str">
        <f>Source!DI39</f>
        <v/>
      </c>
      <c r="H82" s="9">
        <f>Source!AV39</f>
        <v>1</v>
      </c>
      <c r="I82" s="9"/>
      <c r="J82" s="21"/>
      <c r="K82" s="21">
        <f>Source!U39</f>
        <v>12.609</v>
      </c>
    </row>
    <row r="83" spans="1:22" ht="15" x14ac:dyDescent="0.25">
      <c r="A83" s="26"/>
      <c r="B83" s="26"/>
      <c r="C83" s="26"/>
      <c r="D83" s="26"/>
      <c r="E83" s="26"/>
      <c r="F83" s="26"/>
      <c r="G83" s="26"/>
      <c r="H83" s="26"/>
      <c r="I83" s="53">
        <f>J78+J79+J80+J81</f>
        <v>11613.18</v>
      </c>
      <c r="J83" s="53"/>
      <c r="K83" s="27">
        <f>IF(Source!I39&lt;&gt;0, ROUND(I83/Source!I39, 2), 0)</f>
        <v>25807.07</v>
      </c>
      <c r="P83" s="24">
        <f>I83</f>
        <v>11613.18</v>
      </c>
    </row>
    <row r="84" spans="1:22" ht="28.5" x14ac:dyDescent="0.2">
      <c r="A84" s="18">
        <v>6</v>
      </c>
      <c r="B84" s="18" t="str">
        <f>Source!F42</f>
        <v>1.15-2303-4-1/1</v>
      </c>
      <c r="C84" s="18" t="str">
        <f>Source!G42</f>
        <v>Прочистка сетчатых фильтров грубой очистки воды диаметром до 25 мм</v>
      </c>
      <c r="D84" s="19" t="str">
        <f>Source!H42</f>
        <v>10 шт.</v>
      </c>
      <c r="E84" s="9">
        <f>Source!I42</f>
        <v>1.5</v>
      </c>
      <c r="F84" s="21"/>
      <c r="G84" s="20"/>
      <c r="H84" s="9"/>
      <c r="I84" s="9"/>
      <c r="J84" s="21"/>
      <c r="K84" s="21"/>
      <c r="Q84">
        <f>ROUND((Source!BZ42/100)*ROUND((Source!AF42*Source!AV42)*Source!I42, 2), 2)</f>
        <v>1322.66</v>
      </c>
      <c r="R84">
        <f>Source!X42</f>
        <v>1322.66</v>
      </c>
      <c r="S84">
        <f>ROUND((Source!CA42/100)*ROUND((Source!AF42*Source!AV42)*Source!I42, 2), 2)</f>
        <v>188.95</v>
      </c>
      <c r="T84">
        <f>Source!Y42</f>
        <v>188.95</v>
      </c>
      <c r="U84">
        <f>ROUND((175/100)*ROUND((Source!AE42*Source!AV42)*Source!I42, 2), 2)</f>
        <v>0</v>
      </c>
      <c r="V84">
        <f>ROUND((108/100)*ROUND(Source!CS42*Source!I42, 2), 2)</f>
        <v>0</v>
      </c>
    </row>
    <row r="85" spans="1:22" x14ac:dyDescent="0.2">
      <c r="C85" s="22" t="str">
        <f>"Объем: "&amp;Source!I42&amp;"=15/"&amp;"10"</f>
        <v>Объем: 1,5=15/10</v>
      </c>
    </row>
    <row r="86" spans="1:22" ht="14.25" x14ac:dyDescent="0.2">
      <c r="A86" s="18"/>
      <c r="B86" s="18"/>
      <c r="C86" s="18" t="s">
        <v>461</v>
      </c>
      <c r="D86" s="19"/>
      <c r="E86" s="9"/>
      <c r="F86" s="21">
        <f>Source!AO42</f>
        <v>1259.68</v>
      </c>
      <c r="G86" s="20" t="str">
        <f>Source!DG42</f>
        <v/>
      </c>
      <c r="H86" s="9">
        <f>Source!AV42</f>
        <v>1</v>
      </c>
      <c r="I86" s="9">
        <f>IF(Source!BA42&lt;&gt; 0, Source!BA42, 1)</f>
        <v>1</v>
      </c>
      <c r="J86" s="21">
        <f>Source!S42</f>
        <v>1889.52</v>
      </c>
      <c r="K86" s="21"/>
    </row>
    <row r="87" spans="1:22" ht="14.25" x14ac:dyDescent="0.2">
      <c r="A87" s="18"/>
      <c r="B87" s="18"/>
      <c r="C87" s="18" t="s">
        <v>465</v>
      </c>
      <c r="D87" s="19" t="s">
        <v>466</v>
      </c>
      <c r="E87" s="9">
        <f>Source!AT42</f>
        <v>70</v>
      </c>
      <c r="F87" s="21"/>
      <c r="G87" s="20"/>
      <c r="H87" s="9"/>
      <c r="I87" s="9"/>
      <c r="J87" s="21">
        <f>SUM(R84:R86)</f>
        <v>1322.66</v>
      </c>
      <c r="K87" s="21"/>
    </row>
    <row r="88" spans="1:22" ht="14.25" x14ac:dyDescent="0.2">
      <c r="A88" s="18"/>
      <c r="B88" s="18"/>
      <c r="C88" s="18" t="s">
        <v>467</v>
      </c>
      <c r="D88" s="19" t="s">
        <v>466</v>
      </c>
      <c r="E88" s="9">
        <f>Source!AU42</f>
        <v>10</v>
      </c>
      <c r="F88" s="21"/>
      <c r="G88" s="20"/>
      <c r="H88" s="9"/>
      <c r="I88" s="9"/>
      <c r="J88" s="21">
        <f>SUM(T84:T87)</f>
        <v>188.95</v>
      </c>
      <c r="K88" s="21"/>
    </row>
    <row r="89" spans="1:22" ht="14.25" x14ac:dyDescent="0.2">
      <c r="A89" s="18"/>
      <c r="B89" s="18"/>
      <c r="C89" s="18" t="s">
        <v>469</v>
      </c>
      <c r="D89" s="19" t="s">
        <v>470</v>
      </c>
      <c r="E89" s="9">
        <f>Source!AQ42</f>
        <v>2.04</v>
      </c>
      <c r="F89" s="21"/>
      <c r="G89" s="20" t="str">
        <f>Source!DI42</f>
        <v/>
      </c>
      <c r="H89" s="9">
        <f>Source!AV42</f>
        <v>1</v>
      </c>
      <c r="I89" s="9"/>
      <c r="J89" s="21"/>
      <c r="K89" s="21">
        <f>Source!U42</f>
        <v>3.06</v>
      </c>
    </row>
    <row r="90" spans="1:22" ht="15" x14ac:dyDescent="0.25">
      <c r="A90" s="26"/>
      <c r="B90" s="26"/>
      <c r="C90" s="26"/>
      <c r="D90" s="26"/>
      <c r="E90" s="26"/>
      <c r="F90" s="26"/>
      <c r="G90" s="26"/>
      <c r="H90" s="26"/>
      <c r="I90" s="53">
        <f>J86+J87+J88</f>
        <v>3401.13</v>
      </c>
      <c r="J90" s="53"/>
      <c r="K90" s="27">
        <f>IF(Source!I42&lt;&gt;0, ROUND(I90/Source!I42, 2), 0)</f>
        <v>2267.42</v>
      </c>
      <c r="P90" s="24">
        <f>I90</f>
        <v>3401.13</v>
      </c>
    </row>
    <row r="91" spans="1:22" ht="57" x14ac:dyDescent="0.2">
      <c r="A91" s="18">
        <v>7</v>
      </c>
      <c r="B91" s="18" t="str">
        <f>Source!F45</f>
        <v>1.23-2103-41-1/1</v>
      </c>
      <c r="C91" s="18" t="str">
        <f>Source!G45</f>
        <v>Техническое обслуживание регулирующего клапана / Кран шаровой ПВХ 1/2 для подключения гибкой подводки</v>
      </c>
      <c r="D91" s="19" t="str">
        <f>Source!H45</f>
        <v>шт.</v>
      </c>
      <c r="E91" s="9">
        <f>Source!I45</f>
        <v>45</v>
      </c>
      <c r="F91" s="21"/>
      <c r="G91" s="20"/>
      <c r="H91" s="9"/>
      <c r="I91" s="9"/>
      <c r="J91" s="21"/>
      <c r="K91" s="21"/>
      <c r="Q91">
        <f>ROUND((Source!BZ45/100)*ROUND((Source!AF45*Source!AV45)*Source!I45, 2), 2)</f>
        <v>6552</v>
      </c>
      <c r="R91">
        <f>Source!X45</f>
        <v>6552</v>
      </c>
      <c r="S91">
        <f>ROUND((Source!CA45/100)*ROUND((Source!AF45*Source!AV45)*Source!I45, 2), 2)</f>
        <v>936</v>
      </c>
      <c r="T91">
        <f>Source!Y45</f>
        <v>936</v>
      </c>
      <c r="U91">
        <f>ROUND((175/100)*ROUND((Source!AE45*Source!AV45)*Source!I45, 2), 2)</f>
        <v>3903.64</v>
      </c>
      <c r="V91">
        <f>ROUND((108/100)*ROUND(Source!CS45*Source!I45, 2), 2)</f>
        <v>2409.1</v>
      </c>
    </row>
    <row r="92" spans="1:22" x14ac:dyDescent="0.2">
      <c r="C92" s="22" t="str">
        <f>"Объем: "&amp;Source!I45&amp;"=3*"&amp;"15"</f>
        <v>Объем: 45=3*15</v>
      </c>
    </row>
    <row r="93" spans="1:22" ht="14.25" x14ac:dyDescent="0.2">
      <c r="A93" s="18"/>
      <c r="B93" s="18"/>
      <c r="C93" s="18" t="s">
        <v>461</v>
      </c>
      <c r="D93" s="19"/>
      <c r="E93" s="9"/>
      <c r="F93" s="21">
        <f>Source!AO45</f>
        <v>208</v>
      </c>
      <c r="G93" s="20" t="str">
        <f>Source!DG45</f>
        <v/>
      </c>
      <c r="H93" s="9">
        <f>Source!AV45</f>
        <v>1</v>
      </c>
      <c r="I93" s="9">
        <f>IF(Source!BA45&lt;&gt; 0, Source!BA45, 1)</f>
        <v>1</v>
      </c>
      <c r="J93" s="21">
        <f>Source!S45</f>
        <v>9360</v>
      </c>
      <c r="K93" s="21"/>
    </row>
    <row r="94" spans="1:22" ht="14.25" x14ac:dyDescent="0.2">
      <c r="A94" s="18"/>
      <c r="B94" s="18"/>
      <c r="C94" s="18" t="s">
        <v>462</v>
      </c>
      <c r="D94" s="19"/>
      <c r="E94" s="9"/>
      <c r="F94" s="21">
        <f>Source!AM45</f>
        <v>78.180000000000007</v>
      </c>
      <c r="G94" s="20" t="str">
        <f>Source!DE45</f>
        <v/>
      </c>
      <c r="H94" s="9">
        <f>Source!AV45</f>
        <v>1</v>
      </c>
      <c r="I94" s="9">
        <f>IF(Source!BB45&lt;&gt; 0, Source!BB45, 1)</f>
        <v>1</v>
      </c>
      <c r="J94" s="21">
        <f>Source!Q45</f>
        <v>3518.1</v>
      </c>
      <c r="K94" s="21"/>
    </row>
    <row r="95" spans="1:22" ht="14.25" x14ac:dyDescent="0.2">
      <c r="A95" s="18"/>
      <c r="B95" s="18"/>
      <c r="C95" s="18" t="s">
        <v>463</v>
      </c>
      <c r="D95" s="19"/>
      <c r="E95" s="9"/>
      <c r="F95" s="21">
        <f>Source!AN45</f>
        <v>49.57</v>
      </c>
      <c r="G95" s="20" t="str">
        <f>Source!DF45</f>
        <v/>
      </c>
      <c r="H95" s="9">
        <f>Source!AV45</f>
        <v>1</v>
      </c>
      <c r="I95" s="9">
        <f>IF(Source!BS45&lt;&gt; 0, Source!BS45, 1)</f>
        <v>1</v>
      </c>
      <c r="J95" s="23">
        <f>Source!R45</f>
        <v>2230.65</v>
      </c>
      <c r="K95" s="21"/>
    </row>
    <row r="96" spans="1:22" ht="14.25" x14ac:dyDescent="0.2">
      <c r="A96" s="18"/>
      <c r="B96" s="18"/>
      <c r="C96" s="18" t="s">
        <v>465</v>
      </c>
      <c r="D96" s="19" t="s">
        <v>466</v>
      </c>
      <c r="E96" s="9">
        <f>Source!AT45</f>
        <v>70</v>
      </c>
      <c r="F96" s="21"/>
      <c r="G96" s="20"/>
      <c r="H96" s="9"/>
      <c r="I96" s="9"/>
      <c r="J96" s="21">
        <f>SUM(R91:R95)</f>
        <v>6552</v>
      </c>
      <c r="K96" s="21"/>
    </row>
    <row r="97" spans="1:22" ht="14.25" x14ac:dyDescent="0.2">
      <c r="A97" s="18"/>
      <c r="B97" s="18"/>
      <c r="C97" s="18" t="s">
        <v>467</v>
      </c>
      <c r="D97" s="19" t="s">
        <v>466</v>
      </c>
      <c r="E97" s="9">
        <f>Source!AU45</f>
        <v>10</v>
      </c>
      <c r="F97" s="21"/>
      <c r="G97" s="20"/>
      <c r="H97" s="9"/>
      <c r="I97" s="9"/>
      <c r="J97" s="21">
        <f>SUM(T91:T96)</f>
        <v>936</v>
      </c>
      <c r="K97" s="21"/>
    </row>
    <row r="98" spans="1:22" ht="14.25" x14ac:dyDescent="0.2">
      <c r="A98" s="18"/>
      <c r="B98" s="18"/>
      <c r="C98" s="18" t="s">
        <v>468</v>
      </c>
      <c r="D98" s="19" t="s">
        <v>466</v>
      </c>
      <c r="E98" s="9">
        <f>108</f>
        <v>108</v>
      </c>
      <c r="F98" s="21"/>
      <c r="G98" s="20"/>
      <c r="H98" s="9"/>
      <c r="I98" s="9"/>
      <c r="J98" s="21">
        <f>SUM(V91:V97)</f>
        <v>2409.1</v>
      </c>
      <c r="K98" s="21"/>
    </row>
    <row r="99" spans="1:22" ht="14.25" x14ac:dyDescent="0.2">
      <c r="A99" s="18"/>
      <c r="B99" s="18"/>
      <c r="C99" s="18" t="s">
        <v>469</v>
      </c>
      <c r="D99" s="19" t="s">
        <v>470</v>
      </c>
      <c r="E99" s="9">
        <f>Source!AQ45</f>
        <v>0.37</v>
      </c>
      <c r="F99" s="21"/>
      <c r="G99" s="20" t="str">
        <f>Source!DI45</f>
        <v/>
      </c>
      <c r="H99" s="9">
        <f>Source!AV45</f>
        <v>1</v>
      </c>
      <c r="I99" s="9"/>
      <c r="J99" s="21"/>
      <c r="K99" s="21">
        <f>Source!U45</f>
        <v>16.649999999999999</v>
      </c>
    </row>
    <row r="100" spans="1:22" ht="15" x14ac:dyDescent="0.25">
      <c r="A100" s="26"/>
      <c r="B100" s="26"/>
      <c r="C100" s="26"/>
      <c r="D100" s="26"/>
      <c r="E100" s="26"/>
      <c r="F100" s="26"/>
      <c r="G100" s="26"/>
      <c r="H100" s="26"/>
      <c r="I100" s="53">
        <f>J93+J94+J96+J97+J98</f>
        <v>22775.199999999997</v>
      </c>
      <c r="J100" s="53"/>
      <c r="K100" s="27">
        <f>IF(Source!I45&lt;&gt;0, ROUND(I100/Source!I45, 2), 0)</f>
        <v>506.12</v>
      </c>
      <c r="P100" s="24">
        <f>I100</f>
        <v>22775.199999999997</v>
      </c>
    </row>
    <row r="101" spans="1:22" ht="42.75" x14ac:dyDescent="0.2">
      <c r="A101" s="18">
        <v>8</v>
      </c>
      <c r="B101" s="18" t="str">
        <f>Source!F46</f>
        <v>1.15-2203-7-2/1</v>
      </c>
      <c r="C101" s="18" t="str">
        <f>Source!G46</f>
        <v>Техническое обслуживание крана шарового латунного никелированного диаметром до 50 мм</v>
      </c>
      <c r="D101" s="19" t="str">
        <f>Source!H46</f>
        <v>10 шт.</v>
      </c>
      <c r="E101" s="9">
        <f>Source!I46</f>
        <v>1.5</v>
      </c>
      <c r="F101" s="21"/>
      <c r="G101" s="20"/>
      <c r="H101" s="9"/>
      <c r="I101" s="9"/>
      <c r="J101" s="21"/>
      <c r="K101" s="21"/>
      <c r="Q101">
        <f>ROUND((Source!BZ46/100)*ROUND((Source!AF46*Source!AV46)*Source!I46, 2), 2)</f>
        <v>395.51</v>
      </c>
      <c r="R101">
        <f>Source!X46</f>
        <v>395.51</v>
      </c>
      <c r="S101">
        <f>ROUND((Source!CA46/100)*ROUND((Source!AF46*Source!AV46)*Source!I46, 2), 2)</f>
        <v>56.5</v>
      </c>
      <c r="T101">
        <f>Source!Y46</f>
        <v>56.5</v>
      </c>
      <c r="U101">
        <f>ROUND((175/100)*ROUND((Source!AE46*Source!AV46)*Source!I46, 2), 2)</f>
        <v>0</v>
      </c>
      <c r="V101">
        <f>ROUND((108/100)*ROUND(Source!CS46*Source!I46, 2), 2)</f>
        <v>0</v>
      </c>
    </row>
    <row r="102" spans="1:22" x14ac:dyDescent="0.2">
      <c r="C102" s="22" t="str">
        <f>"Объем: "&amp;Source!I46&amp;"=15/"&amp;"10"</f>
        <v>Объем: 1,5=15/10</v>
      </c>
    </row>
    <row r="103" spans="1:22" ht="14.25" x14ac:dyDescent="0.2">
      <c r="A103" s="18"/>
      <c r="B103" s="18"/>
      <c r="C103" s="18" t="s">
        <v>461</v>
      </c>
      <c r="D103" s="19"/>
      <c r="E103" s="9"/>
      <c r="F103" s="21">
        <f>Source!AO46</f>
        <v>376.67</v>
      </c>
      <c r="G103" s="20" t="str">
        <f>Source!DG46</f>
        <v/>
      </c>
      <c r="H103" s="9">
        <f>Source!AV46</f>
        <v>1</v>
      </c>
      <c r="I103" s="9">
        <f>IF(Source!BA46&lt;&gt; 0, Source!BA46, 1)</f>
        <v>1</v>
      </c>
      <c r="J103" s="21">
        <f>Source!S46</f>
        <v>565.01</v>
      </c>
      <c r="K103" s="21"/>
    </row>
    <row r="104" spans="1:22" ht="14.25" x14ac:dyDescent="0.2">
      <c r="A104" s="18"/>
      <c r="B104" s="18"/>
      <c r="C104" s="18" t="s">
        <v>465</v>
      </c>
      <c r="D104" s="19" t="s">
        <v>466</v>
      </c>
      <c r="E104" s="9">
        <f>Source!AT46</f>
        <v>70</v>
      </c>
      <c r="F104" s="21"/>
      <c r="G104" s="20"/>
      <c r="H104" s="9"/>
      <c r="I104" s="9"/>
      <c r="J104" s="21">
        <f>SUM(R101:R103)</f>
        <v>395.51</v>
      </c>
      <c r="K104" s="21"/>
    </row>
    <row r="105" spans="1:22" ht="14.25" x14ac:dyDescent="0.2">
      <c r="A105" s="18"/>
      <c r="B105" s="18"/>
      <c r="C105" s="18" t="s">
        <v>467</v>
      </c>
      <c r="D105" s="19" t="s">
        <v>466</v>
      </c>
      <c r="E105" s="9">
        <f>Source!AU46</f>
        <v>10</v>
      </c>
      <c r="F105" s="21"/>
      <c r="G105" s="20"/>
      <c r="H105" s="9"/>
      <c r="I105" s="9"/>
      <c r="J105" s="21">
        <f>SUM(T101:T104)</f>
        <v>56.5</v>
      </c>
      <c r="K105" s="21"/>
    </row>
    <row r="106" spans="1:22" ht="14.25" x14ac:dyDescent="0.2">
      <c r="A106" s="18"/>
      <c r="B106" s="18"/>
      <c r="C106" s="18" t="s">
        <v>469</v>
      </c>
      <c r="D106" s="19" t="s">
        <v>470</v>
      </c>
      <c r="E106" s="9">
        <f>Source!AQ46</f>
        <v>0.61</v>
      </c>
      <c r="F106" s="21"/>
      <c r="G106" s="20" t="str">
        <f>Source!DI46</f>
        <v/>
      </c>
      <c r="H106" s="9">
        <f>Source!AV46</f>
        <v>1</v>
      </c>
      <c r="I106" s="9"/>
      <c r="J106" s="21"/>
      <c r="K106" s="21">
        <f>Source!U46</f>
        <v>0.91500000000000004</v>
      </c>
    </row>
    <row r="107" spans="1:22" ht="15" x14ac:dyDescent="0.25">
      <c r="A107" s="26"/>
      <c r="B107" s="26"/>
      <c r="C107" s="26"/>
      <c r="D107" s="26"/>
      <c r="E107" s="26"/>
      <c r="F107" s="26"/>
      <c r="G107" s="26"/>
      <c r="H107" s="26"/>
      <c r="I107" s="53">
        <f>J103+J104+J105</f>
        <v>1017.02</v>
      </c>
      <c r="J107" s="53"/>
      <c r="K107" s="27">
        <f>IF(Source!I46&lt;&gt;0, ROUND(I107/Source!I46, 2), 0)</f>
        <v>678.01</v>
      </c>
      <c r="P107" s="24">
        <f>I107</f>
        <v>1017.02</v>
      </c>
    </row>
    <row r="109" spans="1:22" ht="15" x14ac:dyDescent="0.25">
      <c r="A109" s="57" t="str">
        <f>CONCATENATE("Итого по подразделу: ",IF(Source!G50&lt;&gt;"Новый подраздел", Source!G50, ""))</f>
        <v>Итого по подразделу: Оборудование водоснабжения и водоотведения</v>
      </c>
      <c r="B109" s="57"/>
      <c r="C109" s="57"/>
      <c r="D109" s="57"/>
      <c r="E109" s="57"/>
      <c r="F109" s="57"/>
      <c r="G109" s="57"/>
      <c r="H109" s="57"/>
      <c r="I109" s="55">
        <f>SUM(P36:P108)</f>
        <v>180465.12999999998</v>
      </c>
      <c r="J109" s="56"/>
      <c r="K109" s="28"/>
    </row>
    <row r="112" spans="1:22" ht="16.5" x14ac:dyDescent="0.25">
      <c r="A112" s="54" t="str">
        <f>CONCATENATE("Подраздел: ",IF(Source!G80&lt;&gt;"Новый подраздел", Source!G80, ""))</f>
        <v>Подраздел: Техническое помещение общее на модуль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</row>
    <row r="113" spans="1:22" ht="42.75" x14ac:dyDescent="0.2">
      <c r="A113" s="18">
        <v>9</v>
      </c>
      <c r="B113" s="18" t="str">
        <f>Source!F84</f>
        <v>1.21-2303-24-1/1</v>
      </c>
      <c r="C113" s="18" t="str">
        <f>Source!G84</f>
        <v>Техническое обслуживание электроводонагревателей объемом до 80 литров</v>
      </c>
      <c r="D113" s="19" t="str">
        <f>Source!H84</f>
        <v>шт.</v>
      </c>
      <c r="E113" s="9">
        <f>Source!I84</f>
        <v>15</v>
      </c>
      <c r="F113" s="21"/>
      <c r="G113" s="20"/>
      <c r="H113" s="9"/>
      <c r="I113" s="9"/>
      <c r="J113" s="21"/>
      <c r="K113" s="21"/>
      <c r="Q113">
        <f>ROUND((Source!BZ84/100)*ROUND((Source!AF84*Source!AV84)*Source!I84, 2), 2)</f>
        <v>13062.32</v>
      </c>
      <c r="R113">
        <f>Source!X84</f>
        <v>13062.32</v>
      </c>
      <c r="S113">
        <f>ROUND((Source!CA84/100)*ROUND((Source!AF84*Source!AV84)*Source!I84, 2), 2)</f>
        <v>1866.05</v>
      </c>
      <c r="T113">
        <f>Source!Y84</f>
        <v>1866.05</v>
      </c>
      <c r="U113">
        <f>ROUND((175/100)*ROUND((Source!AE84*Source!AV84)*Source!I84, 2), 2)</f>
        <v>23487.71</v>
      </c>
      <c r="V113">
        <f>ROUND((108/100)*ROUND(Source!CS84*Source!I84, 2), 2)</f>
        <v>14495.27</v>
      </c>
    </row>
    <row r="114" spans="1:22" ht="14.25" x14ac:dyDescent="0.2">
      <c r="A114" s="18"/>
      <c r="B114" s="18"/>
      <c r="C114" s="18" t="s">
        <v>461</v>
      </c>
      <c r="D114" s="19"/>
      <c r="E114" s="9"/>
      <c r="F114" s="21">
        <f>Source!AO84</f>
        <v>1244.03</v>
      </c>
      <c r="G114" s="20" t="str">
        <f>Source!DG84</f>
        <v/>
      </c>
      <c r="H114" s="9">
        <f>Source!AV84</f>
        <v>1</v>
      </c>
      <c r="I114" s="9">
        <f>IF(Source!BA84&lt;&gt; 0, Source!BA84, 1)</f>
        <v>1</v>
      </c>
      <c r="J114" s="21">
        <f>Source!S84</f>
        <v>18660.45</v>
      </c>
      <c r="K114" s="21"/>
    </row>
    <row r="115" spans="1:22" ht="14.25" x14ac:dyDescent="0.2">
      <c r="A115" s="18"/>
      <c r="B115" s="18"/>
      <c r="C115" s="18" t="s">
        <v>462</v>
      </c>
      <c r="D115" s="19"/>
      <c r="E115" s="9"/>
      <c r="F115" s="21">
        <f>Source!AM84</f>
        <v>1411.16</v>
      </c>
      <c r="G115" s="20" t="str">
        <f>Source!DE84</f>
        <v/>
      </c>
      <c r="H115" s="9">
        <f>Source!AV84</f>
        <v>1</v>
      </c>
      <c r="I115" s="9">
        <f>IF(Source!BB84&lt;&gt; 0, Source!BB84, 1)</f>
        <v>1</v>
      </c>
      <c r="J115" s="21">
        <f>Source!Q84</f>
        <v>21167.4</v>
      </c>
      <c r="K115" s="21"/>
    </row>
    <row r="116" spans="1:22" ht="14.25" x14ac:dyDescent="0.2">
      <c r="A116" s="18"/>
      <c r="B116" s="18"/>
      <c r="C116" s="18" t="s">
        <v>463</v>
      </c>
      <c r="D116" s="19"/>
      <c r="E116" s="9"/>
      <c r="F116" s="21">
        <f>Source!AN84</f>
        <v>894.77</v>
      </c>
      <c r="G116" s="20" t="str">
        <f>Source!DF84</f>
        <v/>
      </c>
      <c r="H116" s="9">
        <f>Source!AV84</f>
        <v>1</v>
      </c>
      <c r="I116" s="9">
        <f>IF(Source!BS84&lt;&gt; 0, Source!BS84, 1)</f>
        <v>1</v>
      </c>
      <c r="J116" s="23">
        <f>Source!R84</f>
        <v>13421.55</v>
      </c>
      <c r="K116" s="21"/>
    </row>
    <row r="117" spans="1:22" ht="14.25" x14ac:dyDescent="0.2">
      <c r="A117" s="18"/>
      <c r="B117" s="18"/>
      <c r="C117" s="18" t="s">
        <v>464</v>
      </c>
      <c r="D117" s="19"/>
      <c r="E117" s="9"/>
      <c r="F117" s="21">
        <f>Source!AL84</f>
        <v>0.63</v>
      </c>
      <c r="G117" s="20" t="str">
        <f>Source!DD84</f>
        <v/>
      </c>
      <c r="H117" s="9">
        <f>Source!AW84</f>
        <v>1</v>
      </c>
      <c r="I117" s="9">
        <f>IF(Source!BC84&lt;&gt; 0, Source!BC84, 1)</f>
        <v>1</v>
      </c>
      <c r="J117" s="21">
        <f>Source!P84</f>
        <v>9.4499999999999993</v>
      </c>
      <c r="K117" s="21"/>
    </row>
    <row r="118" spans="1:22" ht="14.25" x14ac:dyDescent="0.2">
      <c r="A118" s="18"/>
      <c r="B118" s="18"/>
      <c r="C118" s="18" t="s">
        <v>465</v>
      </c>
      <c r="D118" s="19" t="s">
        <v>466</v>
      </c>
      <c r="E118" s="9">
        <f>Source!AT84</f>
        <v>70</v>
      </c>
      <c r="F118" s="21"/>
      <c r="G118" s="20"/>
      <c r="H118" s="9"/>
      <c r="I118" s="9"/>
      <c r="J118" s="21">
        <f>SUM(R113:R117)</f>
        <v>13062.32</v>
      </c>
      <c r="K118" s="21"/>
    </row>
    <row r="119" spans="1:22" ht="14.25" x14ac:dyDescent="0.2">
      <c r="A119" s="18"/>
      <c r="B119" s="18"/>
      <c r="C119" s="18" t="s">
        <v>467</v>
      </c>
      <c r="D119" s="19" t="s">
        <v>466</v>
      </c>
      <c r="E119" s="9">
        <f>Source!AU84</f>
        <v>10</v>
      </c>
      <c r="F119" s="21"/>
      <c r="G119" s="20"/>
      <c r="H119" s="9"/>
      <c r="I119" s="9"/>
      <c r="J119" s="21">
        <f>SUM(T113:T118)</f>
        <v>1866.05</v>
      </c>
      <c r="K119" s="21"/>
    </row>
    <row r="120" spans="1:22" ht="14.25" x14ac:dyDescent="0.2">
      <c r="A120" s="18"/>
      <c r="B120" s="18"/>
      <c r="C120" s="18" t="s">
        <v>468</v>
      </c>
      <c r="D120" s="19" t="s">
        <v>466</v>
      </c>
      <c r="E120" s="9">
        <f>108</f>
        <v>108</v>
      </c>
      <c r="F120" s="21"/>
      <c r="G120" s="20"/>
      <c r="H120" s="9"/>
      <c r="I120" s="9"/>
      <c r="J120" s="21">
        <f>SUM(V113:V119)</f>
        <v>14495.27</v>
      </c>
      <c r="K120" s="21"/>
    </row>
    <row r="121" spans="1:22" ht="14.25" x14ac:dyDescent="0.2">
      <c r="A121" s="18"/>
      <c r="B121" s="18"/>
      <c r="C121" s="18" t="s">
        <v>469</v>
      </c>
      <c r="D121" s="19" t="s">
        <v>470</v>
      </c>
      <c r="E121" s="9">
        <f>Source!AQ84</f>
        <v>1.75</v>
      </c>
      <c r="F121" s="21"/>
      <c r="G121" s="20" t="str">
        <f>Source!DI84</f>
        <v/>
      </c>
      <c r="H121" s="9">
        <f>Source!AV84</f>
        <v>1</v>
      </c>
      <c r="I121" s="9"/>
      <c r="J121" s="21"/>
      <c r="K121" s="21">
        <f>Source!U84</f>
        <v>26.25</v>
      </c>
    </row>
    <row r="122" spans="1:22" ht="15" x14ac:dyDescent="0.25">
      <c r="A122" s="26"/>
      <c r="B122" s="26"/>
      <c r="C122" s="26"/>
      <c r="D122" s="26"/>
      <c r="E122" s="26"/>
      <c r="F122" s="26"/>
      <c r="G122" s="26"/>
      <c r="H122" s="26"/>
      <c r="I122" s="53">
        <f>J114+J115+J117+J118+J119+J120</f>
        <v>69260.94</v>
      </c>
      <c r="J122" s="53"/>
      <c r="K122" s="27">
        <f>IF(Source!I84&lt;&gt;0, ROUND(I122/Source!I84, 2), 0)</f>
        <v>4617.3999999999996</v>
      </c>
      <c r="P122" s="24">
        <f>I122</f>
        <v>69260.94</v>
      </c>
    </row>
    <row r="123" spans="1:22" ht="42.75" x14ac:dyDescent="0.2">
      <c r="A123" s="18">
        <v>10</v>
      </c>
      <c r="B123" s="18" t="str">
        <f>Source!F85</f>
        <v>1.24-2103-16-1/1</v>
      </c>
      <c r="C123" s="18" t="str">
        <f>Source!G85</f>
        <v>Техническое обслуживание погружных насосов мощностью от 2,1 кВт до 16 кВт / прим.</v>
      </c>
      <c r="D123" s="19" t="str">
        <f>Source!H85</f>
        <v>шт.</v>
      </c>
      <c r="E123" s="9">
        <f>Source!I85</f>
        <v>15</v>
      </c>
      <c r="F123" s="21"/>
      <c r="G123" s="20"/>
      <c r="H123" s="9"/>
      <c r="I123" s="9"/>
      <c r="J123" s="21"/>
      <c r="K123" s="21"/>
      <c r="Q123">
        <f>ROUND((Source!BZ85/100)*ROUND((Source!AF85*Source!AV85)*Source!I85, 2), 2)</f>
        <v>40053.620000000003</v>
      </c>
      <c r="R123">
        <f>Source!X85</f>
        <v>40053.620000000003</v>
      </c>
      <c r="S123">
        <f>ROUND((Source!CA85/100)*ROUND((Source!AF85*Source!AV85)*Source!I85, 2), 2)</f>
        <v>5721.95</v>
      </c>
      <c r="T123">
        <f>Source!Y85</f>
        <v>5721.95</v>
      </c>
      <c r="U123">
        <f>ROUND((175/100)*ROUND((Source!AE85*Source!AV85)*Source!I85, 2), 2)</f>
        <v>29.66</v>
      </c>
      <c r="V123">
        <f>ROUND((108/100)*ROUND(Source!CS85*Source!I85, 2), 2)</f>
        <v>18.309999999999999</v>
      </c>
    </row>
    <row r="124" spans="1:22" ht="14.25" x14ac:dyDescent="0.2">
      <c r="A124" s="18"/>
      <c r="B124" s="18"/>
      <c r="C124" s="18" t="s">
        <v>461</v>
      </c>
      <c r="D124" s="19"/>
      <c r="E124" s="9"/>
      <c r="F124" s="21">
        <f>Source!AO85</f>
        <v>3814.63</v>
      </c>
      <c r="G124" s="20" t="str">
        <f>Source!DG85</f>
        <v/>
      </c>
      <c r="H124" s="9">
        <f>Source!AV85</f>
        <v>1</v>
      </c>
      <c r="I124" s="9">
        <f>IF(Source!BA85&lt;&gt; 0, Source!BA85, 1)</f>
        <v>1</v>
      </c>
      <c r="J124" s="21">
        <f>Source!S85</f>
        <v>57219.45</v>
      </c>
      <c r="K124" s="21"/>
    </row>
    <row r="125" spans="1:22" ht="14.25" x14ac:dyDescent="0.2">
      <c r="A125" s="18"/>
      <c r="B125" s="18"/>
      <c r="C125" s="18" t="s">
        <v>462</v>
      </c>
      <c r="D125" s="19"/>
      <c r="E125" s="9"/>
      <c r="F125" s="21">
        <f>Source!AM85</f>
        <v>26.53</v>
      </c>
      <c r="G125" s="20" t="str">
        <f>Source!DE85</f>
        <v/>
      </c>
      <c r="H125" s="9">
        <f>Source!AV85</f>
        <v>1</v>
      </c>
      <c r="I125" s="9">
        <f>IF(Source!BB85&lt;&gt; 0, Source!BB85, 1)</f>
        <v>1</v>
      </c>
      <c r="J125" s="21">
        <f>Source!Q85</f>
        <v>397.95</v>
      </c>
      <c r="K125" s="21"/>
    </row>
    <row r="126" spans="1:22" ht="14.25" x14ac:dyDescent="0.2">
      <c r="A126" s="18"/>
      <c r="B126" s="18"/>
      <c r="C126" s="18" t="s">
        <v>463</v>
      </c>
      <c r="D126" s="19"/>
      <c r="E126" s="9"/>
      <c r="F126" s="21">
        <f>Source!AN85</f>
        <v>1.1299999999999999</v>
      </c>
      <c r="G126" s="20" t="str">
        <f>Source!DF85</f>
        <v/>
      </c>
      <c r="H126" s="9">
        <f>Source!AV85</f>
        <v>1</v>
      </c>
      <c r="I126" s="9">
        <f>IF(Source!BS85&lt;&gt; 0, Source!BS85, 1)</f>
        <v>1</v>
      </c>
      <c r="J126" s="23">
        <f>Source!R85</f>
        <v>16.95</v>
      </c>
      <c r="K126" s="21"/>
    </row>
    <row r="127" spans="1:22" ht="14.25" x14ac:dyDescent="0.2">
      <c r="A127" s="18"/>
      <c r="B127" s="18"/>
      <c r="C127" s="18" t="s">
        <v>464</v>
      </c>
      <c r="D127" s="19"/>
      <c r="E127" s="9"/>
      <c r="F127" s="21">
        <f>Source!AL85</f>
        <v>5881.34</v>
      </c>
      <c r="G127" s="20" t="str">
        <f>Source!DD85</f>
        <v/>
      </c>
      <c r="H127" s="9">
        <f>Source!AW85</f>
        <v>1</v>
      </c>
      <c r="I127" s="9">
        <f>IF(Source!BC85&lt;&gt; 0, Source!BC85, 1)</f>
        <v>1</v>
      </c>
      <c r="J127" s="21">
        <f>Source!P85</f>
        <v>88220.1</v>
      </c>
      <c r="K127" s="21"/>
    </row>
    <row r="128" spans="1:22" ht="14.25" x14ac:dyDescent="0.2">
      <c r="A128" s="18"/>
      <c r="B128" s="18"/>
      <c r="C128" s="18" t="s">
        <v>465</v>
      </c>
      <c r="D128" s="19" t="s">
        <v>466</v>
      </c>
      <c r="E128" s="9">
        <f>Source!AT85</f>
        <v>70</v>
      </c>
      <c r="F128" s="21"/>
      <c r="G128" s="20"/>
      <c r="H128" s="9"/>
      <c r="I128" s="9"/>
      <c r="J128" s="21">
        <f>SUM(R123:R127)</f>
        <v>40053.620000000003</v>
      </c>
      <c r="K128" s="21"/>
    </row>
    <row r="129" spans="1:22" ht="14.25" x14ac:dyDescent="0.2">
      <c r="A129" s="18"/>
      <c r="B129" s="18"/>
      <c r="C129" s="18" t="s">
        <v>467</v>
      </c>
      <c r="D129" s="19" t="s">
        <v>466</v>
      </c>
      <c r="E129" s="9">
        <f>Source!AU85</f>
        <v>10</v>
      </c>
      <c r="F129" s="21"/>
      <c r="G129" s="20"/>
      <c r="H129" s="9"/>
      <c r="I129" s="9"/>
      <c r="J129" s="21">
        <f>SUM(T123:T128)</f>
        <v>5721.95</v>
      </c>
      <c r="K129" s="21"/>
    </row>
    <row r="130" spans="1:22" ht="14.25" x14ac:dyDescent="0.2">
      <c r="A130" s="18"/>
      <c r="B130" s="18"/>
      <c r="C130" s="18" t="s">
        <v>468</v>
      </c>
      <c r="D130" s="19" t="s">
        <v>466</v>
      </c>
      <c r="E130" s="9">
        <f>108</f>
        <v>108</v>
      </c>
      <c r="F130" s="21"/>
      <c r="G130" s="20"/>
      <c r="H130" s="9"/>
      <c r="I130" s="9"/>
      <c r="J130" s="21">
        <f>SUM(V123:V129)</f>
        <v>18.309999999999999</v>
      </c>
      <c r="K130" s="21"/>
    </row>
    <row r="131" spans="1:22" ht="14.25" x14ac:dyDescent="0.2">
      <c r="A131" s="18"/>
      <c r="B131" s="18"/>
      <c r="C131" s="18" t="s">
        <v>469</v>
      </c>
      <c r="D131" s="19" t="s">
        <v>470</v>
      </c>
      <c r="E131" s="9">
        <f>Source!AQ85</f>
        <v>5.7</v>
      </c>
      <c r="F131" s="21"/>
      <c r="G131" s="20" t="str">
        <f>Source!DI85</f>
        <v/>
      </c>
      <c r="H131" s="9">
        <f>Source!AV85</f>
        <v>1</v>
      </c>
      <c r="I131" s="9"/>
      <c r="J131" s="21"/>
      <c r="K131" s="21">
        <f>Source!U85</f>
        <v>85.5</v>
      </c>
    </row>
    <row r="132" spans="1:22" ht="15" x14ac:dyDescent="0.25">
      <c r="A132" s="26"/>
      <c r="B132" s="26"/>
      <c r="C132" s="26"/>
      <c r="D132" s="26"/>
      <c r="E132" s="26"/>
      <c r="F132" s="26"/>
      <c r="G132" s="26"/>
      <c r="H132" s="26"/>
      <c r="I132" s="53">
        <f>J124+J125+J127+J128+J129+J130</f>
        <v>191631.38</v>
      </c>
      <c r="J132" s="53"/>
      <c r="K132" s="27">
        <f>IF(Source!I85&lt;&gt;0, ROUND(I132/Source!I85, 2), 0)</f>
        <v>12775.43</v>
      </c>
      <c r="P132" s="24">
        <f>I132</f>
        <v>191631.38</v>
      </c>
    </row>
    <row r="133" spans="1:22" ht="42.75" x14ac:dyDescent="0.2">
      <c r="A133" s="18">
        <v>11</v>
      </c>
      <c r="B133" s="18" t="str">
        <f>Source!F90</f>
        <v>1.17-2103-14-1/1</v>
      </c>
      <c r="C133" s="18" t="str">
        <f>Source!G90</f>
        <v>Техническое обслуживание мембранного расширительного бака объемом 100 л</v>
      </c>
      <c r="D133" s="19" t="str">
        <f>Source!H90</f>
        <v>шт.</v>
      </c>
      <c r="E133" s="9">
        <f>Source!I90</f>
        <v>15</v>
      </c>
      <c r="F133" s="21"/>
      <c r="G133" s="20"/>
      <c r="H133" s="9"/>
      <c r="I133" s="9"/>
      <c r="J133" s="21"/>
      <c r="K133" s="21"/>
      <c r="Q133">
        <f>ROUND((Source!BZ90/100)*ROUND((Source!AF90*Source!AV90)*Source!I90, 2), 2)</f>
        <v>3760.47</v>
      </c>
      <c r="R133">
        <f>Source!X90</f>
        <v>3760.47</v>
      </c>
      <c r="S133">
        <f>ROUND((Source!CA90/100)*ROUND((Source!AF90*Source!AV90)*Source!I90, 2), 2)</f>
        <v>537.21</v>
      </c>
      <c r="T133">
        <f>Source!Y90</f>
        <v>537.21</v>
      </c>
      <c r="U133">
        <f>ROUND((175/100)*ROUND((Source!AE90*Source!AV90)*Source!I90, 2), 2)</f>
        <v>0</v>
      </c>
      <c r="V133">
        <f>ROUND((108/100)*ROUND(Source!CS90*Source!I90, 2), 2)</f>
        <v>0</v>
      </c>
    </row>
    <row r="134" spans="1:22" ht="14.25" x14ac:dyDescent="0.2">
      <c r="A134" s="18"/>
      <c r="B134" s="18"/>
      <c r="C134" s="18" t="s">
        <v>461</v>
      </c>
      <c r="D134" s="19"/>
      <c r="E134" s="9"/>
      <c r="F134" s="21">
        <f>Source!AO90</f>
        <v>358.14</v>
      </c>
      <c r="G134" s="20" t="str">
        <f>Source!DG90</f>
        <v/>
      </c>
      <c r="H134" s="9">
        <f>Source!AV90</f>
        <v>1</v>
      </c>
      <c r="I134" s="9">
        <f>IF(Source!BA90&lt;&gt; 0, Source!BA90, 1)</f>
        <v>1</v>
      </c>
      <c r="J134" s="21">
        <f>Source!S90</f>
        <v>5372.1</v>
      </c>
      <c r="K134" s="21"/>
    </row>
    <row r="135" spans="1:22" ht="14.25" x14ac:dyDescent="0.2">
      <c r="A135" s="18"/>
      <c r="B135" s="18"/>
      <c r="C135" s="18" t="s">
        <v>464</v>
      </c>
      <c r="D135" s="19"/>
      <c r="E135" s="9"/>
      <c r="F135" s="21">
        <f>Source!AL90</f>
        <v>0.63</v>
      </c>
      <c r="G135" s="20" t="str">
        <f>Source!DD90</f>
        <v/>
      </c>
      <c r="H135" s="9">
        <f>Source!AW90</f>
        <v>1</v>
      </c>
      <c r="I135" s="9">
        <f>IF(Source!BC90&lt;&gt; 0, Source!BC90, 1)</f>
        <v>1</v>
      </c>
      <c r="J135" s="21">
        <f>Source!P90</f>
        <v>9.4499999999999993</v>
      </c>
      <c r="K135" s="21"/>
    </row>
    <row r="136" spans="1:22" ht="14.25" x14ac:dyDescent="0.2">
      <c r="A136" s="18"/>
      <c r="B136" s="18"/>
      <c r="C136" s="18" t="s">
        <v>465</v>
      </c>
      <c r="D136" s="19" t="s">
        <v>466</v>
      </c>
      <c r="E136" s="9">
        <f>Source!AT90</f>
        <v>70</v>
      </c>
      <c r="F136" s="21"/>
      <c r="G136" s="20"/>
      <c r="H136" s="9"/>
      <c r="I136" s="9"/>
      <c r="J136" s="21">
        <f>SUM(R133:R135)</f>
        <v>3760.47</v>
      </c>
      <c r="K136" s="21"/>
    </row>
    <row r="137" spans="1:22" ht="14.25" x14ac:dyDescent="0.2">
      <c r="A137" s="18"/>
      <c r="B137" s="18"/>
      <c r="C137" s="18" t="s">
        <v>467</v>
      </c>
      <c r="D137" s="19" t="s">
        <v>466</v>
      </c>
      <c r="E137" s="9">
        <f>Source!AU90</f>
        <v>10</v>
      </c>
      <c r="F137" s="21"/>
      <c r="G137" s="20"/>
      <c r="H137" s="9"/>
      <c r="I137" s="9"/>
      <c r="J137" s="21">
        <f>SUM(T133:T136)</f>
        <v>537.21</v>
      </c>
      <c r="K137" s="21"/>
    </row>
    <row r="138" spans="1:22" ht="14.25" x14ac:dyDescent="0.2">
      <c r="A138" s="18"/>
      <c r="B138" s="18"/>
      <c r="C138" s="18" t="s">
        <v>469</v>
      </c>
      <c r="D138" s="19" t="s">
        <v>470</v>
      </c>
      <c r="E138" s="9">
        <f>Source!AQ90</f>
        <v>0.57999999999999996</v>
      </c>
      <c r="F138" s="21"/>
      <c r="G138" s="20" t="str">
        <f>Source!DI90</f>
        <v/>
      </c>
      <c r="H138" s="9">
        <f>Source!AV90</f>
        <v>1</v>
      </c>
      <c r="I138" s="9"/>
      <c r="J138" s="21"/>
      <c r="K138" s="21">
        <f>Source!U90</f>
        <v>8.6999999999999993</v>
      </c>
    </row>
    <row r="139" spans="1:22" ht="15" x14ac:dyDescent="0.25">
      <c r="A139" s="26"/>
      <c r="B139" s="26"/>
      <c r="C139" s="26"/>
      <c r="D139" s="26"/>
      <c r="E139" s="26"/>
      <c r="F139" s="26"/>
      <c r="G139" s="26"/>
      <c r="H139" s="26"/>
      <c r="I139" s="53">
        <f>J134+J135+J136+J137</f>
        <v>9679.23</v>
      </c>
      <c r="J139" s="53"/>
      <c r="K139" s="27">
        <f>IF(Source!I90&lt;&gt;0, ROUND(I139/Source!I90, 2), 0)</f>
        <v>645.28</v>
      </c>
      <c r="P139" s="24">
        <f>I139</f>
        <v>9679.23</v>
      </c>
    </row>
    <row r="141" spans="1:22" ht="15" x14ac:dyDescent="0.25">
      <c r="A141" s="57" t="str">
        <f>CONCATENATE("Итого по подразделу: ",IF(Source!G92&lt;&gt;"Новый подраздел", Source!G92, ""))</f>
        <v>Итого по подразделу: Техническое помещение общее на модуль</v>
      </c>
      <c r="B141" s="57"/>
      <c r="C141" s="57"/>
      <c r="D141" s="57"/>
      <c r="E141" s="57"/>
      <c r="F141" s="57"/>
      <c r="G141" s="57"/>
      <c r="H141" s="57"/>
      <c r="I141" s="55">
        <f>SUM(P112:P140)</f>
        <v>270571.55</v>
      </c>
      <c r="J141" s="56"/>
      <c r="K141" s="28"/>
    </row>
    <row r="144" spans="1:22" ht="16.5" x14ac:dyDescent="0.25">
      <c r="A144" s="54" t="str">
        <f>CONCATENATE("Подраздел: ",IF(Source!G122&lt;&gt;"Новый подраздел", Source!G122, ""))</f>
        <v>Подраздел: Электрооборудование каждого модуля</v>
      </c>
      <c r="B144" s="54"/>
      <c r="C144" s="54"/>
      <c r="D144" s="54"/>
      <c r="E144" s="54"/>
      <c r="F144" s="54"/>
      <c r="G144" s="54"/>
      <c r="H144" s="54"/>
      <c r="I144" s="54"/>
      <c r="J144" s="54"/>
      <c r="K144" s="54"/>
    </row>
    <row r="145" spans="1:22" ht="71.25" x14ac:dyDescent="0.2">
      <c r="A145" s="18">
        <v>12</v>
      </c>
      <c r="B145" s="18" t="str">
        <f>Source!F126</f>
        <v>1.21-2203-2-5/1</v>
      </c>
      <c r="C145" s="18" t="str">
        <f>Source!G126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D145" s="19" t="str">
        <f>Source!H126</f>
        <v>шт.</v>
      </c>
      <c r="E145" s="9">
        <f>Source!I126</f>
        <v>15</v>
      </c>
      <c r="F145" s="21"/>
      <c r="G145" s="20"/>
      <c r="H145" s="9"/>
      <c r="I145" s="9"/>
      <c r="J145" s="21"/>
      <c r="K145" s="21"/>
      <c r="Q145">
        <f>ROUND((Source!BZ126/100)*ROUND((Source!AF126*Source!AV126)*Source!I126, 2), 2)</f>
        <v>155607.48000000001</v>
      </c>
      <c r="R145">
        <f>Source!X126</f>
        <v>155607.48000000001</v>
      </c>
      <c r="S145">
        <f>ROUND((Source!CA126/100)*ROUND((Source!AF126*Source!AV126)*Source!I126, 2), 2)</f>
        <v>22229.64</v>
      </c>
      <c r="T145">
        <f>Source!Y126</f>
        <v>22229.64</v>
      </c>
      <c r="U145">
        <f>ROUND((175/100)*ROUND((Source!AE126*Source!AV126)*Source!I126, 2), 2)</f>
        <v>0</v>
      </c>
      <c r="V145">
        <f>ROUND((108/100)*ROUND(Source!CS126*Source!I126, 2), 2)</f>
        <v>0</v>
      </c>
    </row>
    <row r="146" spans="1:22" ht="14.25" x14ac:dyDescent="0.2">
      <c r="A146" s="18"/>
      <c r="B146" s="18"/>
      <c r="C146" s="18" t="s">
        <v>461</v>
      </c>
      <c r="D146" s="19"/>
      <c r="E146" s="9"/>
      <c r="F146" s="21">
        <f>Source!AO126</f>
        <v>14819.76</v>
      </c>
      <c r="G146" s="20" t="str">
        <f>Source!DG126</f>
        <v/>
      </c>
      <c r="H146" s="9">
        <f>Source!AV126</f>
        <v>1</v>
      </c>
      <c r="I146" s="9">
        <f>IF(Source!BA126&lt;&gt; 0, Source!BA126, 1)</f>
        <v>1</v>
      </c>
      <c r="J146" s="21">
        <f>Source!S126</f>
        <v>222296.4</v>
      </c>
      <c r="K146" s="21"/>
    </row>
    <row r="147" spans="1:22" ht="14.25" x14ac:dyDescent="0.2">
      <c r="A147" s="18"/>
      <c r="B147" s="18"/>
      <c r="C147" s="18" t="s">
        <v>464</v>
      </c>
      <c r="D147" s="19"/>
      <c r="E147" s="9"/>
      <c r="F147" s="21">
        <f>Source!AL126</f>
        <v>205.53</v>
      </c>
      <c r="G147" s="20" t="str">
        <f>Source!DD126</f>
        <v/>
      </c>
      <c r="H147" s="9">
        <f>Source!AW126</f>
        <v>1</v>
      </c>
      <c r="I147" s="9">
        <f>IF(Source!BC126&lt;&gt; 0, Source!BC126, 1)</f>
        <v>1</v>
      </c>
      <c r="J147" s="21">
        <f>Source!P126</f>
        <v>3082.95</v>
      </c>
      <c r="K147" s="21"/>
    </row>
    <row r="148" spans="1:22" ht="14.25" x14ac:dyDescent="0.2">
      <c r="A148" s="18"/>
      <c r="B148" s="18"/>
      <c r="C148" s="18" t="s">
        <v>465</v>
      </c>
      <c r="D148" s="19" t="s">
        <v>466</v>
      </c>
      <c r="E148" s="9">
        <f>Source!AT126</f>
        <v>70</v>
      </c>
      <c r="F148" s="21"/>
      <c r="G148" s="20"/>
      <c r="H148" s="9"/>
      <c r="I148" s="9"/>
      <c r="J148" s="21">
        <f>SUM(R145:R147)</f>
        <v>155607.48000000001</v>
      </c>
      <c r="K148" s="21"/>
    </row>
    <row r="149" spans="1:22" ht="14.25" x14ac:dyDescent="0.2">
      <c r="A149" s="18"/>
      <c r="B149" s="18"/>
      <c r="C149" s="18" t="s">
        <v>467</v>
      </c>
      <c r="D149" s="19" t="s">
        <v>466</v>
      </c>
      <c r="E149" s="9">
        <f>Source!AU126</f>
        <v>10</v>
      </c>
      <c r="F149" s="21"/>
      <c r="G149" s="20"/>
      <c r="H149" s="9"/>
      <c r="I149" s="9"/>
      <c r="J149" s="21">
        <f>SUM(T145:T148)</f>
        <v>22229.64</v>
      </c>
      <c r="K149" s="21"/>
    </row>
    <row r="150" spans="1:22" ht="14.25" x14ac:dyDescent="0.2">
      <c r="A150" s="18"/>
      <c r="B150" s="18"/>
      <c r="C150" s="18" t="s">
        <v>469</v>
      </c>
      <c r="D150" s="19" t="s">
        <v>470</v>
      </c>
      <c r="E150" s="9">
        <f>Source!AQ126</f>
        <v>24</v>
      </c>
      <c r="F150" s="21"/>
      <c r="G150" s="20" t="str">
        <f>Source!DI126</f>
        <v/>
      </c>
      <c r="H150" s="9">
        <f>Source!AV126</f>
        <v>1</v>
      </c>
      <c r="I150" s="9"/>
      <c r="J150" s="21"/>
      <c r="K150" s="21">
        <f>Source!U126</f>
        <v>360</v>
      </c>
    </row>
    <row r="151" spans="1:22" ht="15" x14ac:dyDescent="0.25">
      <c r="A151" s="26"/>
      <c r="B151" s="26"/>
      <c r="C151" s="26"/>
      <c r="D151" s="26"/>
      <c r="E151" s="26"/>
      <c r="F151" s="26"/>
      <c r="G151" s="26"/>
      <c r="H151" s="26"/>
      <c r="I151" s="53">
        <f>J146+J147+J148+J149</f>
        <v>403216.47000000003</v>
      </c>
      <c r="J151" s="53"/>
      <c r="K151" s="27">
        <f>IF(Source!I126&lt;&gt;0, ROUND(I151/Source!I126, 2), 0)</f>
        <v>26881.1</v>
      </c>
      <c r="P151" s="24">
        <f>I151</f>
        <v>403216.47000000003</v>
      </c>
    </row>
    <row r="152" spans="1:22" ht="57" x14ac:dyDescent="0.2">
      <c r="A152" s="18">
        <v>13</v>
      </c>
      <c r="B152" s="18" t="str">
        <f>Source!F129</f>
        <v>1.21-2303-50-1/1</v>
      </c>
      <c r="C152" s="18" t="str">
        <f>Source!G129</f>
        <v>Техническое обслуживание  конвектора электрического настенного крепления, с механическим термостатом, мощность до 2,0 кВт</v>
      </c>
      <c r="D152" s="19" t="str">
        <f>Source!H129</f>
        <v>шт.</v>
      </c>
      <c r="E152" s="9">
        <f>Source!I129</f>
        <v>60</v>
      </c>
      <c r="F152" s="21"/>
      <c r="G152" s="20"/>
      <c r="H152" s="9"/>
      <c r="I152" s="9"/>
      <c r="J152" s="21"/>
      <c r="K152" s="21"/>
      <c r="Q152">
        <f>ROUND((Source!BZ129/100)*ROUND((Source!AF129*Source!AV129)*Source!I129, 2), 2)</f>
        <v>3630.9</v>
      </c>
      <c r="R152">
        <f>Source!X129</f>
        <v>3630.9</v>
      </c>
      <c r="S152">
        <f>ROUND((Source!CA129/100)*ROUND((Source!AF129*Source!AV129)*Source!I129, 2), 2)</f>
        <v>518.70000000000005</v>
      </c>
      <c r="T152">
        <f>Source!Y129</f>
        <v>518.70000000000005</v>
      </c>
      <c r="U152">
        <f>ROUND((175/100)*ROUND((Source!AE129*Source!AV129)*Source!I129, 2), 2)</f>
        <v>0</v>
      </c>
      <c r="V152">
        <f>ROUND((108/100)*ROUND(Source!CS129*Source!I129, 2), 2)</f>
        <v>0</v>
      </c>
    </row>
    <row r="153" spans="1:22" x14ac:dyDescent="0.2">
      <c r="C153" s="22" t="str">
        <f>"Объем: "&amp;Source!I129&amp;"=4*"&amp;"15"</f>
        <v>Объем: 60=4*15</v>
      </c>
    </row>
    <row r="154" spans="1:22" ht="14.25" x14ac:dyDescent="0.2">
      <c r="A154" s="18"/>
      <c r="B154" s="18"/>
      <c r="C154" s="18" t="s">
        <v>461</v>
      </c>
      <c r="D154" s="19"/>
      <c r="E154" s="9"/>
      <c r="F154" s="21">
        <f>Source!AO129</f>
        <v>86.45</v>
      </c>
      <c r="G154" s="20" t="str">
        <f>Source!DG129</f>
        <v/>
      </c>
      <c r="H154" s="9">
        <f>Source!AV129</f>
        <v>1</v>
      </c>
      <c r="I154" s="9">
        <f>IF(Source!BA129&lt;&gt; 0, Source!BA129, 1)</f>
        <v>1</v>
      </c>
      <c r="J154" s="21">
        <f>Source!S129</f>
        <v>5187</v>
      </c>
      <c r="K154" s="21"/>
    </row>
    <row r="155" spans="1:22" ht="14.25" x14ac:dyDescent="0.2">
      <c r="A155" s="18"/>
      <c r="B155" s="18"/>
      <c r="C155" s="18" t="s">
        <v>462</v>
      </c>
      <c r="D155" s="19"/>
      <c r="E155" s="9"/>
      <c r="F155" s="21">
        <f>Source!AM129</f>
        <v>0.23</v>
      </c>
      <c r="G155" s="20" t="str">
        <f>Source!DE129</f>
        <v/>
      </c>
      <c r="H155" s="9">
        <f>Source!AV129</f>
        <v>1</v>
      </c>
      <c r="I155" s="9">
        <f>IF(Source!BB129&lt;&gt; 0, Source!BB129, 1)</f>
        <v>1</v>
      </c>
      <c r="J155" s="21">
        <f>Source!Q129</f>
        <v>13.8</v>
      </c>
      <c r="K155" s="21"/>
    </row>
    <row r="156" spans="1:22" ht="14.25" x14ac:dyDescent="0.2">
      <c r="A156" s="18"/>
      <c r="B156" s="18"/>
      <c r="C156" s="18" t="s">
        <v>464</v>
      </c>
      <c r="D156" s="19"/>
      <c r="E156" s="9"/>
      <c r="F156" s="21">
        <f>Source!AL129</f>
        <v>2.2000000000000002</v>
      </c>
      <c r="G156" s="20" t="str">
        <f>Source!DD129</f>
        <v/>
      </c>
      <c r="H156" s="9">
        <f>Source!AW129</f>
        <v>1</v>
      </c>
      <c r="I156" s="9">
        <f>IF(Source!BC129&lt;&gt; 0, Source!BC129, 1)</f>
        <v>1</v>
      </c>
      <c r="J156" s="21">
        <f>Source!P129</f>
        <v>132</v>
      </c>
      <c r="K156" s="21"/>
    </row>
    <row r="157" spans="1:22" ht="14.25" x14ac:dyDescent="0.2">
      <c r="A157" s="18"/>
      <c r="B157" s="18"/>
      <c r="C157" s="18" t="s">
        <v>465</v>
      </c>
      <c r="D157" s="19" t="s">
        <v>466</v>
      </c>
      <c r="E157" s="9">
        <f>Source!AT129</f>
        <v>70</v>
      </c>
      <c r="F157" s="21"/>
      <c r="G157" s="20"/>
      <c r="H157" s="9"/>
      <c r="I157" s="9"/>
      <c r="J157" s="21">
        <f>SUM(R152:R156)</f>
        <v>3630.9</v>
      </c>
      <c r="K157" s="21"/>
    </row>
    <row r="158" spans="1:22" ht="14.25" x14ac:dyDescent="0.2">
      <c r="A158" s="18"/>
      <c r="B158" s="18"/>
      <c r="C158" s="18" t="s">
        <v>467</v>
      </c>
      <c r="D158" s="19" t="s">
        <v>466</v>
      </c>
      <c r="E158" s="9">
        <f>Source!AU129</f>
        <v>10</v>
      </c>
      <c r="F158" s="21"/>
      <c r="G158" s="20"/>
      <c r="H158" s="9"/>
      <c r="I158" s="9"/>
      <c r="J158" s="21">
        <f>SUM(T152:T157)</f>
        <v>518.70000000000005</v>
      </c>
      <c r="K158" s="21"/>
    </row>
    <row r="159" spans="1:22" ht="14.25" x14ac:dyDescent="0.2">
      <c r="A159" s="18"/>
      <c r="B159" s="18"/>
      <c r="C159" s="18" t="s">
        <v>469</v>
      </c>
      <c r="D159" s="19" t="s">
        <v>470</v>
      </c>
      <c r="E159" s="9">
        <f>Source!AQ129</f>
        <v>0.14000000000000001</v>
      </c>
      <c r="F159" s="21"/>
      <c r="G159" s="20" t="str">
        <f>Source!DI129</f>
        <v/>
      </c>
      <c r="H159" s="9">
        <f>Source!AV129</f>
        <v>1</v>
      </c>
      <c r="I159" s="9"/>
      <c r="J159" s="21"/>
      <c r="K159" s="21">
        <f>Source!U129</f>
        <v>8.4</v>
      </c>
    </row>
    <row r="160" spans="1:22" ht="15" x14ac:dyDescent="0.25">
      <c r="A160" s="26"/>
      <c r="B160" s="26"/>
      <c r="C160" s="26"/>
      <c r="D160" s="26"/>
      <c r="E160" s="26"/>
      <c r="F160" s="26"/>
      <c r="G160" s="26"/>
      <c r="H160" s="26"/>
      <c r="I160" s="53">
        <f>J154+J155+J156+J157+J158</f>
        <v>9482.4000000000015</v>
      </c>
      <c r="J160" s="53"/>
      <c r="K160" s="27">
        <f>IF(Source!I129&lt;&gt;0, ROUND(I160/Source!I129, 2), 0)</f>
        <v>158.04</v>
      </c>
      <c r="P160" s="24">
        <f>I160</f>
        <v>9482.4000000000015</v>
      </c>
    </row>
    <row r="161" spans="1:22" ht="42.75" x14ac:dyDescent="0.2">
      <c r="A161" s="18">
        <v>14</v>
      </c>
      <c r="B161" s="18" t="str">
        <f>Source!F132</f>
        <v>1.21-3301-35-1/1</v>
      </c>
      <c r="C161" s="18" t="str">
        <f>Source!G132</f>
        <v>Ремонт электрополотенца (сушителя для рук) с заменой датчика включения (без стоимости датчика)</v>
      </c>
      <c r="D161" s="19" t="str">
        <f>Source!H132</f>
        <v>шт.</v>
      </c>
      <c r="E161" s="9">
        <f>Source!I132</f>
        <v>45</v>
      </c>
      <c r="F161" s="21"/>
      <c r="G161" s="20"/>
      <c r="H161" s="9"/>
      <c r="I161" s="9"/>
      <c r="J161" s="21"/>
      <c r="K161" s="21"/>
      <c r="Q161">
        <f>ROUND((Source!BZ132/100)*ROUND((Source!AF132*Source!AV132)*Source!I132, 2), 2)</f>
        <v>5428.4</v>
      </c>
      <c r="R161">
        <f>Source!X132</f>
        <v>5428.4</v>
      </c>
      <c r="S161">
        <f>ROUND((Source!CA132/100)*ROUND((Source!AF132*Source!AV132)*Source!I132, 2), 2)</f>
        <v>775.49</v>
      </c>
      <c r="T161">
        <f>Source!Y132</f>
        <v>775.49</v>
      </c>
      <c r="U161">
        <f>ROUND((175/100)*ROUND((Source!AE132*Source!AV132)*Source!I132, 2), 2)</f>
        <v>0</v>
      </c>
      <c r="V161">
        <f>ROUND((108/100)*ROUND(Source!CS132*Source!I132, 2), 2)</f>
        <v>0</v>
      </c>
    </row>
    <row r="162" spans="1:22" x14ac:dyDescent="0.2">
      <c r="C162" s="22" t="str">
        <f>"Объем: "&amp;Source!I132&amp;"=3*"&amp;"15"</f>
        <v>Объем: 45=3*15</v>
      </c>
    </row>
    <row r="163" spans="1:22" ht="14.25" x14ac:dyDescent="0.2">
      <c r="A163" s="18"/>
      <c r="B163" s="18"/>
      <c r="C163" s="18" t="s">
        <v>461</v>
      </c>
      <c r="D163" s="19"/>
      <c r="E163" s="9"/>
      <c r="F163" s="21">
        <f>Source!AO132</f>
        <v>172.33</v>
      </c>
      <c r="G163" s="20" t="str">
        <f>Source!DG132</f>
        <v/>
      </c>
      <c r="H163" s="9">
        <f>Source!AV132</f>
        <v>1</v>
      </c>
      <c r="I163" s="9">
        <f>IF(Source!BA132&lt;&gt; 0, Source!BA132, 1)</f>
        <v>1</v>
      </c>
      <c r="J163" s="21">
        <f>Source!S132</f>
        <v>7754.85</v>
      </c>
      <c r="K163" s="21"/>
    </row>
    <row r="164" spans="1:22" ht="14.25" x14ac:dyDescent="0.2">
      <c r="A164" s="18"/>
      <c r="B164" s="18"/>
      <c r="C164" s="18" t="s">
        <v>464</v>
      </c>
      <c r="D164" s="19"/>
      <c r="E164" s="9"/>
      <c r="F164" s="21">
        <f>Source!AL132</f>
        <v>8.26</v>
      </c>
      <c r="G164" s="20" t="str">
        <f>Source!DD132</f>
        <v/>
      </c>
      <c r="H164" s="9">
        <f>Source!AW132</f>
        <v>1</v>
      </c>
      <c r="I164" s="9">
        <f>IF(Source!BC132&lt;&gt; 0, Source!BC132, 1)</f>
        <v>1</v>
      </c>
      <c r="J164" s="21">
        <f>Source!P132</f>
        <v>371.7</v>
      </c>
      <c r="K164" s="21"/>
    </row>
    <row r="165" spans="1:22" ht="14.25" x14ac:dyDescent="0.2">
      <c r="A165" s="18"/>
      <c r="B165" s="18"/>
      <c r="C165" s="18" t="s">
        <v>465</v>
      </c>
      <c r="D165" s="19" t="s">
        <v>466</v>
      </c>
      <c r="E165" s="9">
        <f>Source!AT132</f>
        <v>70</v>
      </c>
      <c r="F165" s="21"/>
      <c r="G165" s="20"/>
      <c r="H165" s="9"/>
      <c r="I165" s="9"/>
      <c r="J165" s="21">
        <f>SUM(R161:R164)</f>
        <v>5428.4</v>
      </c>
      <c r="K165" s="21"/>
    </row>
    <row r="166" spans="1:22" ht="14.25" x14ac:dyDescent="0.2">
      <c r="A166" s="18"/>
      <c r="B166" s="18"/>
      <c r="C166" s="18" t="s">
        <v>467</v>
      </c>
      <c r="D166" s="19" t="s">
        <v>466</v>
      </c>
      <c r="E166" s="9">
        <f>Source!AU132</f>
        <v>10</v>
      </c>
      <c r="F166" s="21"/>
      <c r="G166" s="20"/>
      <c r="H166" s="9"/>
      <c r="I166" s="9"/>
      <c r="J166" s="21">
        <f>SUM(T161:T165)</f>
        <v>775.49</v>
      </c>
      <c r="K166" s="21"/>
    </row>
    <row r="167" spans="1:22" ht="14.25" x14ac:dyDescent="0.2">
      <c r="A167" s="18"/>
      <c r="B167" s="18"/>
      <c r="C167" s="18" t="s">
        <v>469</v>
      </c>
      <c r="D167" s="19" t="s">
        <v>470</v>
      </c>
      <c r="E167" s="9">
        <f>Source!AQ132</f>
        <v>0.34</v>
      </c>
      <c r="F167" s="21"/>
      <c r="G167" s="20" t="str">
        <f>Source!DI132</f>
        <v/>
      </c>
      <c r="H167" s="9">
        <f>Source!AV132</f>
        <v>1</v>
      </c>
      <c r="I167" s="9"/>
      <c r="J167" s="21"/>
      <c r="K167" s="21">
        <f>Source!U132</f>
        <v>15.3</v>
      </c>
    </row>
    <row r="168" spans="1:22" ht="15" x14ac:dyDescent="0.25">
      <c r="A168" s="26"/>
      <c r="B168" s="26"/>
      <c r="C168" s="26"/>
      <c r="D168" s="26"/>
      <c r="E168" s="26"/>
      <c r="F168" s="26"/>
      <c r="G168" s="26"/>
      <c r="H168" s="26"/>
      <c r="I168" s="53">
        <f>J163+J164+J165+J166</f>
        <v>14330.44</v>
      </c>
      <c r="J168" s="53"/>
      <c r="K168" s="27">
        <f>IF(Source!I132&lt;&gt;0, ROUND(I168/Source!I132, 2), 0)</f>
        <v>318.45</v>
      </c>
      <c r="P168" s="24">
        <f>I168</f>
        <v>14330.44</v>
      </c>
    </row>
    <row r="169" spans="1:22" ht="150.75" x14ac:dyDescent="0.2">
      <c r="A169" s="18">
        <v>15</v>
      </c>
      <c r="B169" s="18" t="s">
        <v>471</v>
      </c>
      <c r="C169" s="18" t="s">
        <v>472</v>
      </c>
      <c r="D169" s="19" t="str">
        <f>Source!H133</f>
        <v>шт.</v>
      </c>
      <c r="E169" s="9">
        <f>Source!I133</f>
        <v>15</v>
      </c>
      <c r="F169" s="21"/>
      <c r="G169" s="20"/>
      <c r="H169" s="9"/>
      <c r="I169" s="9"/>
      <c r="J169" s="21"/>
      <c r="K169" s="21"/>
      <c r="Q169">
        <f>ROUND((Source!BZ133/100)*ROUND((Source!AF133*Source!AV133)*Source!I133, 2), 2)</f>
        <v>1104.99</v>
      </c>
      <c r="R169">
        <f>Source!X133</f>
        <v>1104.99</v>
      </c>
      <c r="S169">
        <f>ROUND((Source!CA133/100)*ROUND((Source!AF133*Source!AV133)*Source!I133, 2), 2)</f>
        <v>157.86000000000001</v>
      </c>
      <c r="T169">
        <f>Source!Y133</f>
        <v>157.86000000000001</v>
      </c>
      <c r="U169">
        <f>ROUND((175/100)*ROUND((Source!AE133*Source!AV133)*Source!I133, 2), 2)</f>
        <v>0</v>
      </c>
      <c r="V169">
        <f>ROUND((108/100)*ROUND(Source!CS133*Source!I133, 2), 2)</f>
        <v>0</v>
      </c>
    </row>
    <row r="170" spans="1:22" ht="14.25" x14ac:dyDescent="0.2">
      <c r="A170" s="18"/>
      <c r="B170" s="18"/>
      <c r="C170" s="18" t="s">
        <v>461</v>
      </c>
      <c r="D170" s="19"/>
      <c r="E170" s="9"/>
      <c r="F170" s="21">
        <f>Source!AO133</f>
        <v>101.19</v>
      </c>
      <c r="G170" s="20" t="str">
        <f>Source!DG133</f>
        <v>)*1,04</v>
      </c>
      <c r="H170" s="9">
        <f>Source!AV133</f>
        <v>1</v>
      </c>
      <c r="I170" s="9">
        <f>IF(Source!BA133&lt;&gt; 0, Source!BA133, 1)</f>
        <v>1</v>
      </c>
      <c r="J170" s="21">
        <f>Source!S133</f>
        <v>1578.56</v>
      </c>
      <c r="K170" s="21"/>
    </row>
    <row r="171" spans="1:22" ht="14.25" x14ac:dyDescent="0.2">
      <c r="A171" s="18"/>
      <c r="B171" s="18"/>
      <c r="C171" s="18" t="s">
        <v>464</v>
      </c>
      <c r="D171" s="19"/>
      <c r="E171" s="9"/>
      <c r="F171" s="21">
        <f>Source!AL133</f>
        <v>1.26</v>
      </c>
      <c r="G171" s="20" t="str">
        <f>Source!DD133</f>
        <v/>
      </c>
      <c r="H171" s="9">
        <f>Source!AW133</f>
        <v>1</v>
      </c>
      <c r="I171" s="9">
        <f>IF(Source!BC133&lt;&gt; 0, Source!BC133, 1)</f>
        <v>1</v>
      </c>
      <c r="J171" s="21">
        <f>Source!P133</f>
        <v>18.899999999999999</v>
      </c>
      <c r="K171" s="21"/>
    </row>
    <row r="172" spans="1:22" ht="14.25" x14ac:dyDescent="0.2">
      <c r="A172" s="18"/>
      <c r="B172" s="18"/>
      <c r="C172" s="18" t="s">
        <v>465</v>
      </c>
      <c r="D172" s="19" t="s">
        <v>466</v>
      </c>
      <c r="E172" s="9">
        <f>Source!AT133</f>
        <v>70</v>
      </c>
      <c r="F172" s="21"/>
      <c r="G172" s="20"/>
      <c r="H172" s="9"/>
      <c r="I172" s="9"/>
      <c r="J172" s="21">
        <f>SUM(R169:R171)</f>
        <v>1104.99</v>
      </c>
      <c r="K172" s="21"/>
    </row>
    <row r="173" spans="1:22" ht="14.25" x14ac:dyDescent="0.2">
      <c r="A173" s="18"/>
      <c r="B173" s="18"/>
      <c r="C173" s="18" t="s">
        <v>467</v>
      </c>
      <c r="D173" s="19" t="s">
        <v>466</v>
      </c>
      <c r="E173" s="9">
        <f>Source!AU133</f>
        <v>10</v>
      </c>
      <c r="F173" s="21"/>
      <c r="G173" s="20"/>
      <c r="H173" s="9"/>
      <c r="I173" s="9"/>
      <c r="J173" s="21">
        <f>SUM(T169:T172)</f>
        <v>157.86000000000001</v>
      </c>
      <c r="K173" s="21"/>
    </row>
    <row r="174" spans="1:22" ht="14.25" x14ac:dyDescent="0.2">
      <c r="A174" s="18"/>
      <c r="B174" s="18"/>
      <c r="C174" s="18" t="s">
        <v>469</v>
      </c>
      <c r="D174" s="19" t="s">
        <v>470</v>
      </c>
      <c r="E174" s="9">
        <f>Source!AQ133</f>
        <v>0.18</v>
      </c>
      <c r="F174" s="21"/>
      <c r="G174" s="20" t="str">
        <f>Source!DI133</f>
        <v>)*1,04</v>
      </c>
      <c r="H174" s="9">
        <f>Source!AV133</f>
        <v>1</v>
      </c>
      <c r="I174" s="9"/>
      <c r="J174" s="21"/>
      <c r="K174" s="21">
        <f>Source!U133</f>
        <v>2.8080000000000003</v>
      </c>
    </row>
    <row r="175" spans="1:22" ht="15" x14ac:dyDescent="0.25">
      <c r="A175" s="26"/>
      <c r="B175" s="26"/>
      <c r="C175" s="26"/>
      <c r="D175" s="26"/>
      <c r="E175" s="26"/>
      <c r="F175" s="26"/>
      <c r="G175" s="26"/>
      <c r="H175" s="26"/>
      <c r="I175" s="53">
        <f>J170+J171+J172+J173</f>
        <v>2860.31</v>
      </c>
      <c r="J175" s="53"/>
      <c r="K175" s="27">
        <f>IF(Source!I133&lt;&gt;0, ROUND(I175/Source!I133, 2), 0)</f>
        <v>190.69</v>
      </c>
      <c r="P175" s="24">
        <f>I175</f>
        <v>2860.31</v>
      </c>
    </row>
    <row r="176" spans="1:22" ht="165" x14ac:dyDescent="0.2">
      <c r="A176" s="18">
        <v>16</v>
      </c>
      <c r="B176" s="18" t="s">
        <v>473</v>
      </c>
      <c r="C176" s="18" t="s">
        <v>474</v>
      </c>
      <c r="D176" s="19" t="str">
        <f>Source!H134</f>
        <v>шт.</v>
      </c>
      <c r="E176" s="9">
        <f>Source!I134</f>
        <v>60</v>
      </c>
      <c r="F176" s="21"/>
      <c r="G176" s="20"/>
      <c r="H176" s="9"/>
      <c r="I176" s="9"/>
      <c r="J176" s="21"/>
      <c r="K176" s="21"/>
      <c r="Q176">
        <f>ROUND((Source!BZ134/100)*ROUND((Source!AF134*Source!AV134)*Source!I134, 2), 2)</f>
        <v>7366.63</v>
      </c>
      <c r="R176">
        <f>Source!X134</f>
        <v>7366.63</v>
      </c>
      <c r="S176">
        <f>ROUND((Source!CA134/100)*ROUND((Source!AF134*Source!AV134)*Source!I134, 2), 2)</f>
        <v>1052.3800000000001</v>
      </c>
      <c r="T176">
        <f>Source!Y134</f>
        <v>1052.3800000000001</v>
      </c>
      <c r="U176">
        <f>ROUND((175/100)*ROUND((Source!AE134*Source!AV134)*Source!I134, 2), 2)</f>
        <v>0</v>
      </c>
      <c r="V176">
        <f>ROUND((108/100)*ROUND(Source!CS134*Source!I134, 2), 2)</f>
        <v>0</v>
      </c>
    </row>
    <row r="177" spans="1:22" x14ac:dyDescent="0.2">
      <c r="C177" s="22" t="str">
        <f>"Объем: "&amp;Source!I134&amp;"=(4)*"&amp;"15"</f>
        <v>Объем: 60=(4)*15</v>
      </c>
    </row>
    <row r="178" spans="1:22" ht="14.25" x14ac:dyDescent="0.2">
      <c r="A178" s="18"/>
      <c r="B178" s="18"/>
      <c r="C178" s="18" t="s">
        <v>461</v>
      </c>
      <c r="D178" s="19"/>
      <c r="E178" s="9"/>
      <c r="F178" s="21">
        <f>Source!AO134</f>
        <v>168.65</v>
      </c>
      <c r="G178" s="20" t="str">
        <f>Source!DG134</f>
        <v>)*1,04</v>
      </c>
      <c r="H178" s="9">
        <f>Source!AV134</f>
        <v>1</v>
      </c>
      <c r="I178" s="9">
        <f>IF(Source!BA134&lt;&gt; 0, Source!BA134, 1)</f>
        <v>1</v>
      </c>
      <c r="J178" s="21">
        <f>Source!S134</f>
        <v>10523.76</v>
      </c>
      <c r="K178" s="21"/>
    </row>
    <row r="179" spans="1:22" ht="14.25" x14ac:dyDescent="0.2">
      <c r="A179" s="18"/>
      <c r="B179" s="18"/>
      <c r="C179" s="18" t="s">
        <v>464</v>
      </c>
      <c r="D179" s="19"/>
      <c r="E179" s="9"/>
      <c r="F179" s="21">
        <f>Source!AL134</f>
        <v>0.63</v>
      </c>
      <c r="G179" s="20" t="str">
        <f>Source!DD134</f>
        <v/>
      </c>
      <c r="H179" s="9">
        <f>Source!AW134</f>
        <v>1</v>
      </c>
      <c r="I179" s="9">
        <f>IF(Source!BC134&lt;&gt; 0, Source!BC134, 1)</f>
        <v>1</v>
      </c>
      <c r="J179" s="21">
        <f>Source!P134</f>
        <v>37.799999999999997</v>
      </c>
      <c r="K179" s="21"/>
    </row>
    <row r="180" spans="1:22" ht="14.25" x14ac:dyDescent="0.2">
      <c r="A180" s="18"/>
      <c r="B180" s="18"/>
      <c r="C180" s="18" t="s">
        <v>465</v>
      </c>
      <c r="D180" s="19" t="s">
        <v>466</v>
      </c>
      <c r="E180" s="9">
        <f>Source!AT134</f>
        <v>70</v>
      </c>
      <c r="F180" s="21"/>
      <c r="G180" s="20"/>
      <c r="H180" s="9"/>
      <c r="I180" s="9"/>
      <c r="J180" s="21">
        <f>SUM(R176:R179)</f>
        <v>7366.63</v>
      </c>
      <c r="K180" s="21"/>
    </row>
    <row r="181" spans="1:22" ht="14.25" x14ac:dyDescent="0.2">
      <c r="A181" s="18"/>
      <c r="B181" s="18"/>
      <c r="C181" s="18" t="s">
        <v>467</v>
      </c>
      <c r="D181" s="19" t="s">
        <v>466</v>
      </c>
      <c r="E181" s="9">
        <f>Source!AU134</f>
        <v>10</v>
      </c>
      <c r="F181" s="21"/>
      <c r="G181" s="20"/>
      <c r="H181" s="9"/>
      <c r="I181" s="9"/>
      <c r="J181" s="21">
        <f>SUM(T176:T180)</f>
        <v>1052.3800000000001</v>
      </c>
      <c r="K181" s="21"/>
    </row>
    <row r="182" spans="1:22" ht="14.25" x14ac:dyDescent="0.2">
      <c r="A182" s="18"/>
      <c r="B182" s="18"/>
      <c r="C182" s="18" t="s">
        <v>469</v>
      </c>
      <c r="D182" s="19" t="s">
        <v>470</v>
      </c>
      <c r="E182" s="9">
        <f>Source!AQ134</f>
        <v>0.3</v>
      </c>
      <c r="F182" s="21"/>
      <c r="G182" s="20" t="str">
        <f>Source!DI134</f>
        <v>)*1,04</v>
      </c>
      <c r="H182" s="9">
        <f>Source!AV134</f>
        <v>1</v>
      </c>
      <c r="I182" s="9"/>
      <c r="J182" s="21"/>
      <c r="K182" s="21">
        <f>Source!U134</f>
        <v>18.72</v>
      </c>
    </row>
    <row r="183" spans="1:22" ht="15" x14ac:dyDescent="0.25">
      <c r="A183" s="26"/>
      <c r="B183" s="26"/>
      <c r="C183" s="26"/>
      <c r="D183" s="26"/>
      <c r="E183" s="26"/>
      <c r="F183" s="26"/>
      <c r="G183" s="26"/>
      <c r="H183" s="26"/>
      <c r="I183" s="53">
        <f>J178+J179+J180+J181</f>
        <v>18980.57</v>
      </c>
      <c r="J183" s="53"/>
      <c r="K183" s="27">
        <f>IF(Source!I134&lt;&gt;0, ROUND(I183/Source!I134, 2), 0)</f>
        <v>316.33999999999997</v>
      </c>
      <c r="P183" s="24">
        <f>I183</f>
        <v>18980.57</v>
      </c>
    </row>
    <row r="184" spans="1:22" ht="108" x14ac:dyDescent="0.2">
      <c r="A184" s="18">
        <v>17</v>
      </c>
      <c r="B184" s="18" t="s">
        <v>475</v>
      </c>
      <c r="C184" s="18" t="s">
        <v>476</v>
      </c>
      <c r="D184" s="19" t="str">
        <f>Source!H135</f>
        <v>шт.</v>
      </c>
      <c r="E184" s="9">
        <f>Source!I135</f>
        <v>60</v>
      </c>
      <c r="F184" s="21"/>
      <c r="G184" s="20"/>
      <c r="H184" s="9"/>
      <c r="I184" s="9"/>
      <c r="J184" s="21"/>
      <c r="K184" s="21"/>
      <c r="Q184">
        <f>ROUND((Source!BZ135/100)*ROUND((Source!AF135*Source!AV135)*Source!I135, 2), 2)</f>
        <v>9822.32</v>
      </c>
      <c r="R184">
        <f>Source!X135</f>
        <v>9822.32</v>
      </c>
      <c r="S184">
        <f>ROUND((Source!CA135/100)*ROUND((Source!AF135*Source!AV135)*Source!I135, 2), 2)</f>
        <v>1403.19</v>
      </c>
      <c r="T184">
        <f>Source!Y135</f>
        <v>1403.19</v>
      </c>
      <c r="U184">
        <f>ROUND((175/100)*ROUND((Source!AE135*Source!AV135)*Source!I135, 2), 2)</f>
        <v>0</v>
      </c>
      <c r="V184">
        <f>ROUND((108/100)*ROUND(Source!CS135*Source!I135, 2), 2)</f>
        <v>0</v>
      </c>
    </row>
    <row r="185" spans="1:22" x14ac:dyDescent="0.2">
      <c r="C185" s="22" t="str">
        <f>"Объем: "&amp;Source!I135&amp;"=4*"&amp;"15"</f>
        <v>Объем: 60=4*15</v>
      </c>
    </row>
    <row r="186" spans="1:22" ht="14.25" x14ac:dyDescent="0.2">
      <c r="A186" s="18"/>
      <c r="B186" s="18"/>
      <c r="C186" s="18" t="s">
        <v>461</v>
      </c>
      <c r="D186" s="19"/>
      <c r="E186" s="9"/>
      <c r="F186" s="21">
        <f>Source!AO135</f>
        <v>224.87</v>
      </c>
      <c r="G186" s="20" t="str">
        <f>Source!DG135</f>
        <v>)*1,04</v>
      </c>
      <c r="H186" s="9">
        <f>Source!AV135</f>
        <v>1</v>
      </c>
      <c r="I186" s="9">
        <f>IF(Source!BA135&lt;&gt; 0, Source!BA135, 1)</f>
        <v>1</v>
      </c>
      <c r="J186" s="21">
        <f>Source!S135</f>
        <v>14031.89</v>
      </c>
      <c r="K186" s="21"/>
    </row>
    <row r="187" spans="1:22" ht="14.25" x14ac:dyDescent="0.2">
      <c r="A187" s="18"/>
      <c r="B187" s="18"/>
      <c r="C187" s="18" t="s">
        <v>464</v>
      </c>
      <c r="D187" s="19"/>
      <c r="E187" s="9"/>
      <c r="F187" s="21">
        <f>Source!AL135</f>
        <v>1.26</v>
      </c>
      <c r="G187" s="20" t="str">
        <f>Source!DD135</f>
        <v/>
      </c>
      <c r="H187" s="9">
        <f>Source!AW135</f>
        <v>1</v>
      </c>
      <c r="I187" s="9">
        <f>IF(Source!BC135&lt;&gt; 0, Source!BC135, 1)</f>
        <v>1</v>
      </c>
      <c r="J187" s="21">
        <f>Source!P135</f>
        <v>75.599999999999994</v>
      </c>
      <c r="K187" s="21"/>
    </row>
    <row r="188" spans="1:22" ht="14.25" x14ac:dyDescent="0.2">
      <c r="A188" s="18"/>
      <c r="B188" s="18"/>
      <c r="C188" s="18" t="s">
        <v>465</v>
      </c>
      <c r="D188" s="19" t="s">
        <v>466</v>
      </c>
      <c r="E188" s="9">
        <f>Source!AT135</f>
        <v>70</v>
      </c>
      <c r="F188" s="21"/>
      <c r="G188" s="20"/>
      <c r="H188" s="9"/>
      <c r="I188" s="9"/>
      <c r="J188" s="21">
        <f>SUM(R184:R187)</f>
        <v>9822.32</v>
      </c>
      <c r="K188" s="21"/>
    </row>
    <row r="189" spans="1:22" ht="14.25" x14ac:dyDescent="0.2">
      <c r="A189" s="18"/>
      <c r="B189" s="18"/>
      <c r="C189" s="18" t="s">
        <v>467</v>
      </c>
      <c r="D189" s="19" t="s">
        <v>466</v>
      </c>
      <c r="E189" s="9">
        <f>Source!AU135</f>
        <v>10</v>
      </c>
      <c r="F189" s="21"/>
      <c r="G189" s="20"/>
      <c r="H189" s="9"/>
      <c r="I189" s="9"/>
      <c r="J189" s="21">
        <f>SUM(T184:T188)</f>
        <v>1403.19</v>
      </c>
      <c r="K189" s="21"/>
    </row>
    <row r="190" spans="1:22" ht="14.25" x14ac:dyDescent="0.2">
      <c r="A190" s="18"/>
      <c r="B190" s="18"/>
      <c r="C190" s="18" t="s">
        <v>469</v>
      </c>
      <c r="D190" s="19" t="s">
        <v>470</v>
      </c>
      <c r="E190" s="9">
        <f>Source!AQ135</f>
        <v>0.4</v>
      </c>
      <c r="F190" s="21"/>
      <c r="G190" s="20" t="str">
        <f>Source!DI135</f>
        <v>)*1,04</v>
      </c>
      <c r="H190" s="9">
        <f>Source!AV135</f>
        <v>1</v>
      </c>
      <c r="I190" s="9"/>
      <c r="J190" s="21"/>
      <c r="K190" s="21">
        <f>Source!U135</f>
        <v>24.96</v>
      </c>
    </row>
    <row r="191" spans="1:22" ht="15" x14ac:dyDescent="0.25">
      <c r="A191" s="26"/>
      <c r="B191" s="26"/>
      <c r="C191" s="26"/>
      <c r="D191" s="26"/>
      <c r="E191" s="26"/>
      <c r="F191" s="26"/>
      <c r="G191" s="26"/>
      <c r="H191" s="26"/>
      <c r="I191" s="53">
        <f>J186+J187+J188+J189</f>
        <v>25332.999999999996</v>
      </c>
      <c r="J191" s="53"/>
      <c r="K191" s="27">
        <f>IF(Source!I135&lt;&gt;0, ROUND(I191/Source!I135, 2), 0)</f>
        <v>422.22</v>
      </c>
      <c r="P191" s="24">
        <f>I191</f>
        <v>25332.999999999996</v>
      </c>
    </row>
    <row r="192" spans="1:22" ht="71.25" x14ac:dyDescent="0.2">
      <c r="A192" s="18">
        <v>18</v>
      </c>
      <c r="B192" s="18" t="str">
        <f>Source!F136</f>
        <v>1.20-2103-20-1/1</v>
      </c>
      <c r="C192" s="18" t="str">
        <f>Source!G136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192" s="19" t="str">
        <f>Source!H136</f>
        <v>шт.</v>
      </c>
      <c r="E192" s="9">
        <f>Source!I136</f>
        <v>15</v>
      </c>
      <c r="F192" s="21"/>
      <c r="G192" s="20"/>
      <c r="H192" s="9"/>
      <c r="I192" s="9"/>
      <c r="J192" s="21"/>
      <c r="K192" s="21"/>
      <c r="Q192">
        <f>ROUND((Source!BZ136/100)*ROUND((Source!AF136*Source!AV136)*Source!I136, 2), 2)</f>
        <v>6138.72</v>
      </c>
      <c r="R192">
        <f>Source!X136</f>
        <v>6138.72</v>
      </c>
      <c r="S192">
        <f>ROUND((Source!CA136/100)*ROUND((Source!AF136*Source!AV136)*Source!I136, 2), 2)</f>
        <v>876.96</v>
      </c>
      <c r="T192">
        <f>Source!Y136</f>
        <v>876.96</v>
      </c>
      <c r="U192">
        <f>ROUND((175/100)*ROUND((Source!AE136*Source!AV136)*Source!I136, 2), 2)</f>
        <v>0</v>
      </c>
      <c r="V192">
        <f>ROUND((108/100)*ROUND(Source!CS136*Source!I136, 2), 2)</f>
        <v>0</v>
      </c>
    </row>
    <row r="193" spans="1:22" ht="14.25" x14ac:dyDescent="0.2">
      <c r="A193" s="18"/>
      <c r="B193" s="18"/>
      <c r="C193" s="18" t="s">
        <v>461</v>
      </c>
      <c r="D193" s="19"/>
      <c r="E193" s="9"/>
      <c r="F193" s="21">
        <f>Source!AO136</f>
        <v>146.16</v>
      </c>
      <c r="G193" s="20" t="str">
        <f>Source!DG136</f>
        <v>)*4</v>
      </c>
      <c r="H193" s="9">
        <f>Source!AV136</f>
        <v>1</v>
      </c>
      <c r="I193" s="9">
        <f>IF(Source!BA136&lt;&gt; 0, Source!BA136, 1)</f>
        <v>1</v>
      </c>
      <c r="J193" s="21">
        <f>Source!S136</f>
        <v>8769.6</v>
      </c>
      <c r="K193" s="21"/>
    </row>
    <row r="194" spans="1:22" ht="14.25" x14ac:dyDescent="0.2">
      <c r="A194" s="18"/>
      <c r="B194" s="18"/>
      <c r="C194" s="18" t="s">
        <v>464</v>
      </c>
      <c r="D194" s="19"/>
      <c r="E194" s="9"/>
      <c r="F194" s="21">
        <f>Source!AL136</f>
        <v>1.26</v>
      </c>
      <c r="G194" s="20" t="str">
        <f>Source!DD136</f>
        <v>)*4</v>
      </c>
      <c r="H194" s="9">
        <f>Source!AW136</f>
        <v>1</v>
      </c>
      <c r="I194" s="9">
        <f>IF(Source!BC136&lt;&gt; 0, Source!BC136, 1)</f>
        <v>1</v>
      </c>
      <c r="J194" s="21">
        <f>Source!P136</f>
        <v>75.599999999999994</v>
      </c>
      <c r="K194" s="21"/>
    </row>
    <row r="195" spans="1:22" ht="14.25" x14ac:dyDescent="0.2">
      <c r="A195" s="18"/>
      <c r="B195" s="18"/>
      <c r="C195" s="18" t="s">
        <v>465</v>
      </c>
      <c r="D195" s="19" t="s">
        <v>466</v>
      </c>
      <c r="E195" s="9">
        <f>Source!AT136</f>
        <v>70</v>
      </c>
      <c r="F195" s="21"/>
      <c r="G195" s="20"/>
      <c r="H195" s="9"/>
      <c r="I195" s="9"/>
      <c r="J195" s="21">
        <f>SUM(R192:R194)</f>
        <v>6138.72</v>
      </c>
      <c r="K195" s="21"/>
    </row>
    <row r="196" spans="1:22" ht="14.25" x14ac:dyDescent="0.2">
      <c r="A196" s="18"/>
      <c r="B196" s="18"/>
      <c r="C196" s="18" t="s">
        <v>467</v>
      </c>
      <c r="D196" s="19" t="s">
        <v>466</v>
      </c>
      <c r="E196" s="9">
        <f>Source!AU136</f>
        <v>10</v>
      </c>
      <c r="F196" s="21"/>
      <c r="G196" s="20"/>
      <c r="H196" s="9"/>
      <c r="I196" s="9"/>
      <c r="J196" s="21">
        <f>SUM(T192:T195)</f>
        <v>876.96</v>
      </c>
      <c r="K196" s="21"/>
    </row>
    <row r="197" spans="1:22" ht="14.25" x14ac:dyDescent="0.2">
      <c r="A197" s="18"/>
      <c r="B197" s="18"/>
      <c r="C197" s="18" t="s">
        <v>469</v>
      </c>
      <c r="D197" s="19" t="s">
        <v>470</v>
      </c>
      <c r="E197" s="9">
        <f>Source!AQ136</f>
        <v>0.26</v>
      </c>
      <c r="F197" s="21"/>
      <c r="G197" s="20" t="str">
        <f>Source!DI136</f>
        <v>)*4</v>
      </c>
      <c r="H197" s="9">
        <f>Source!AV136</f>
        <v>1</v>
      </c>
      <c r="I197" s="9"/>
      <c r="J197" s="21"/>
      <c r="K197" s="21">
        <f>Source!U136</f>
        <v>15.600000000000001</v>
      </c>
    </row>
    <row r="198" spans="1:22" ht="15" x14ac:dyDescent="0.25">
      <c r="A198" s="26"/>
      <c r="B198" s="26"/>
      <c r="C198" s="26"/>
      <c r="D198" s="26"/>
      <c r="E198" s="26"/>
      <c r="F198" s="26"/>
      <c r="G198" s="26"/>
      <c r="H198" s="26"/>
      <c r="I198" s="53">
        <f>J193+J194+J195+J196</f>
        <v>15860.880000000001</v>
      </c>
      <c r="J198" s="53"/>
      <c r="K198" s="27">
        <f>IF(Source!I136&lt;&gt;0, ROUND(I198/Source!I136, 2), 0)</f>
        <v>1057.3900000000001</v>
      </c>
      <c r="P198" s="24">
        <f>I198</f>
        <v>15860.880000000001</v>
      </c>
    </row>
    <row r="199" spans="1:22" ht="28.5" x14ac:dyDescent="0.2">
      <c r="A199" s="18">
        <v>19</v>
      </c>
      <c r="B199" s="18" t="str">
        <f>Source!F137</f>
        <v>1.18-2303-3-1/1</v>
      </c>
      <c r="C199" s="18" t="str">
        <f>Source!G137</f>
        <v>Техническое обслуживание канального вентилятора - ежемесячное</v>
      </c>
      <c r="D199" s="19" t="str">
        <f>Source!H137</f>
        <v>шт.</v>
      </c>
      <c r="E199" s="9">
        <f>Source!I137</f>
        <v>60</v>
      </c>
      <c r="F199" s="21"/>
      <c r="G199" s="20"/>
      <c r="H199" s="9"/>
      <c r="I199" s="9"/>
      <c r="J199" s="21"/>
      <c r="K199" s="21"/>
      <c r="Q199">
        <f>ROUND((Source!BZ137/100)*ROUND((Source!AF137*Source!AV137)*Source!I137, 2), 2)</f>
        <v>51092.160000000003</v>
      </c>
      <c r="R199">
        <f>Source!X137</f>
        <v>51092.160000000003</v>
      </c>
      <c r="S199">
        <f>ROUND((Source!CA137/100)*ROUND((Source!AF137*Source!AV137)*Source!I137, 2), 2)</f>
        <v>7298.88</v>
      </c>
      <c r="T199">
        <f>Source!Y137</f>
        <v>7298.88</v>
      </c>
      <c r="U199">
        <f>ROUND((175/100)*ROUND((Source!AE137*Source!AV137)*Source!I137, 2), 2)</f>
        <v>0</v>
      </c>
      <c r="V199">
        <f>ROUND((108/100)*ROUND(Source!CS137*Source!I137, 2), 2)</f>
        <v>0</v>
      </c>
    </row>
    <row r="200" spans="1:22" x14ac:dyDescent="0.2">
      <c r="C200" s="22" t="str">
        <f>"Объем: "&amp;Source!I137&amp;"=4*"&amp;"15"</f>
        <v>Объем: 60=4*15</v>
      </c>
    </row>
    <row r="201" spans="1:22" ht="14.25" x14ac:dyDescent="0.2">
      <c r="A201" s="18"/>
      <c r="B201" s="18"/>
      <c r="C201" s="18" t="s">
        <v>461</v>
      </c>
      <c r="D201" s="19"/>
      <c r="E201" s="9"/>
      <c r="F201" s="21">
        <f>Source!AO137</f>
        <v>304.12</v>
      </c>
      <c r="G201" s="20" t="str">
        <f>Source!DG137</f>
        <v>)*4</v>
      </c>
      <c r="H201" s="9">
        <f>Source!AV137</f>
        <v>1</v>
      </c>
      <c r="I201" s="9">
        <f>IF(Source!BA137&lt;&gt; 0, Source!BA137, 1)</f>
        <v>1</v>
      </c>
      <c r="J201" s="21">
        <f>Source!S137</f>
        <v>72988.800000000003</v>
      </c>
      <c r="K201" s="21"/>
    </row>
    <row r="202" spans="1:22" ht="14.25" x14ac:dyDescent="0.2">
      <c r="A202" s="18"/>
      <c r="B202" s="18"/>
      <c r="C202" s="18" t="s">
        <v>465</v>
      </c>
      <c r="D202" s="19" t="s">
        <v>466</v>
      </c>
      <c r="E202" s="9">
        <f>Source!AT137</f>
        <v>70</v>
      </c>
      <c r="F202" s="21"/>
      <c r="G202" s="20"/>
      <c r="H202" s="9"/>
      <c r="I202" s="9"/>
      <c r="J202" s="21">
        <f>SUM(R199:R201)</f>
        <v>51092.160000000003</v>
      </c>
      <c r="K202" s="21"/>
    </row>
    <row r="203" spans="1:22" ht="14.25" x14ac:dyDescent="0.2">
      <c r="A203" s="18"/>
      <c r="B203" s="18"/>
      <c r="C203" s="18" t="s">
        <v>467</v>
      </c>
      <c r="D203" s="19" t="s">
        <v>466</v>
      </c>
      <c r="E203" s="9">
        <f>Source!AU137</f>
        <v>10</v>
      </c>
      <c r="F203" s="21"/>
      <c r="G203" s="20"/>
      <c r="H203" s="9"/>
      <c r="I203" s="9"/>
      <c r="J203" s="21">
        <f>SUM(T199:T202)</f>
        <v>7298.88</v>
      </c>
      <c r="K203" s="21"/>
    </row>
    <row r="204" spans="1:22" ht="14.25" x14ac:dyDescent="0.2">
      <c r="A204" s="18"/>
      <c r="B204" s="18"/>
      <c r="C204" s="18" t="s">
        <v>469</v>
      </c>
      <c r="D204" s="19" t="s">
        <v>470</v>
      </c>
      <c r="E204" s="9">
        <f>Source!AQ137</f>
        <v>0.5</v>
      </c>
      <c r="F204" s="21"/>
      <c r="G204" s="20" t="str">
        <f>Source!DI137</f>
        <v>)*4</v>
      </c>
      <c r="H204" s="9">
        <f>Source!AV137</f>
        <v>1</v>
      </c>
      <c r="I204" s="9"/>
      <c r="J204" s="21"/>
      <c r="K204" s="21">
        <f>Source!U137</f>
        <v>120</v>
      </c>
    </row>
    <row r="205" spans="1:22" ht="15" x14ac:dyDescent="0.25">
      <c r="A205" s="26"/>
      <c r="B205" s="26"/>
      <c r="C205" s="26"/>
      <c r="D205" s="26"/>
      <c r="E205" s="26"/>
      <c r="F205" s="26"/>
      <c r="G205" s="26"/>
      <c r="H205" s="26"/>
      <c r="I205" s="53">
        <f>J201+J202+J203</f>
        <v>131379.84</v>
      </c>
      <c r="J205" s="53"/>
      <c r="K205" s="27">
        <f>IF(Source!I137&lt;&gt;0, ROUND(I205/Source!I137, 2), 0)</f>
        <v>2189.66</v>
      </c>
      <c r="P205" s="24">
        <f>I205</f>
        <v>131379.84</v>
      </c>
    </row>
    <row r="206" spans="1:22" ht="28.5" x14ac:dyDescent="0.2">
      <c r="A206" s="18">
        <v>20</v>
      </c>
      <c r="B206" s="18" t="str">
        <f>Source!F140</f>
        <v>1.23-2103-6-1/1</v>
      </c>
      <c r="C206" s="18" t="str">
        <f>Source!G140</f>
        <v>Техническое обслуживание выключателей поплавковых</v>
      </c>
      <c r="D206" s="19" t="str">
        <f>Source!H140</f>
        <v>100 шт.</v>
      </c>
      <c r="E206" s="9">
        <f>Source!I140</f>
        <v>0.6</v>
      </c>
      <c r="F206" s="21"/>
      <c r="G206" s="20"/>
      <c r="H206" s="9"/>
      <c r="I206" s="9"/>
      <c r="J206" s="21"/>
      <c r="K206" s="21"/>
      <c r="Q206">
        <f>ROUND((Source!BZ140/100)*ROUND((Source!AF140*Source!AV140)*Source!I140, 2), 2)</f>
        <v>5395.98</v>
      </c>
      <c r="R206">
        <f>Source!X140</f>
        <v>5395.98</v>
      </c>
      <c r="S206">
        <f>ROUND((Source!CA140/100)*ROUND((Source!AF140*Source!AV140)*Source!I140, 2), 2)</f>
        <v>770.85</v>
      </c>
      <c r="T206">
        <f>Source!Y140</f>
        <v>770.85</v>
      </c>
      <c r="U206">
        <f>ROUND((175/100)*ROUND((Source!AE140*Source!AV140)*Source!I140, 2), 2)</f>
        <v>2429.04</v>
      </c>
      <c r="V206">
        <f>ROUND((108/100)*ROUND(Source!CS140*Source!I140, 2), 2)</f>
        <v>1499.06</v>
      </c>
    </row>
    <row r="207" spans="1:22" x14ac:dyDescent="0.2">
      <c r="C207" s="22" t="str">
        <f>"Объем: "&amp;Source!I140&amp;"=(4*"&amp;"15)/"&amp;"100"</f>
        <v>Объем: 0,6=(4*15)/100</v>
      </c>
    </row>
    <row r="208" spans="1:22" ht="14.25" x14ac:dyDescent="0.2">
      <c r="A208" s="18"/>
      <c r="B208" s="18"/>
      <c r="C208" s="18" t="s">
        <v>461</v>
      </c>
      <c r="D208" s="19"/>
      <c r="E208" s="9"/>
      <c r="F208" s="21">
        <f>Source!AO140</f>
        <v>3211.89</v>
      </c>
      <c r="G208" s="20" t="str">
        <f>Source!DG140</f>
        <v>)*4</v>
      </c>
      <c r="H208" s="9">
        <f>Source!AV140</f>
        <v>1</v>
      </c>
      <c r="I208" s="9">
        <f>IF(Source!BA140&lt;&gt; 0, Source!BA140, 1)</f>
        <v>1</v>
      </c>
      <c r="J208" s="21">
        <f>Source!S140</f>
        <v>7708.54</v>
      </c>
      <c r="K208" s="21"/>
    </row>
    <row r="209" spans="1:22" ht="14.25" x14ac:dyDescent="0.2">
      <c r="A209" s="18"/>
      <c r="B209" s="18"/>
      <c r="C209" s="18" t="s">
        <v>462</v>
      </c>
      <c r="D209" s="19"/>
      <c r="E209" s="9"/>
      <c r="F209" s="21">
        <f>Source!AM140</f>
        <v>912.11</v>
      </c>
      <c r="G209" s="20" t="str">
        <f>Source!DE140</f>
        <v>)*4</v>
      </c>
      <c r="H209" s="9">
        <f>Source!AV140</f>
        <v>1</v>
      </c>
      <c r="I209" s="9">
        <f>IF(Source!BB140&lt;&gt; 0, Source!BB140, 1)</f>
        <v>1</v>
      </c>
      <c r="J209" s="21">
        <f>Source!Q140</f>
        <v>2189.06</v>
      </c>
      <c r="K209" s="21"/>
    </row>
    <row r="210" spans="1:22" ht="14.25" x14ac:dyDescent="0.2">
      <c r="A210" s="18"/>
      <c r="B210" s="18"/>
      <c r="C210" s="18" t="s">
        <v>463</v>
      </c>
      <c r="D210" s="19"/>
      <c r="E210" s="9"/>
      <c r="F210" s="21">
        <f>Source!AN140</f>
        <v>578.34</v>
      </c>
      <c r="G210" s="20" t="str">
        <f>Source!DF140</f>
        <v>)*4</v>
      </c>
      <c r="H210" s="9">
        <f>Source!AV140</f>
        <v>1</v>
      </c>
      <c r="I210" s="9">
        <f>IF(Source!BS140&lt;&gt; 0, Source!BS140, 1)</f>
        <v>1</v>
      </c>
      <c r="J210" s="23">
        <f>Source!R140</f>
        <v>1388.02</v>
      </c>
      <c r="K210" s="21"/>
    </row>
    <row r="211" spans="1:22" ht="14.25" x14ac:dyDescent="0.2">
      <c r="A211" s="18"/>
      <c r="B211" s="18"/>
      <c r="C211" s="18" t="s">
        <v>464</v>
      </c>
      <c r="D211" s="19"/>
      <c r="E211" s="9"/>
      <c r="F211" s="21">
        <f>Source!AL140</f>
        <v>0.94</v>
      </c>
      <c r="G211" s="20" t="str">
        <f>Source!DD140</f>
        <v>)*4</v>
      </c>
      <c r="H211" s="9">
        <f>Source!AW140</f>
        <v>1</v>
      </c>
      <c r="I211" s="9">
        <f>IF(Source!BC140&lt;&gt; 0, Source!BC140, 1)</f>
        <v>1</v>
      </c>
      <c r="J211" s="21">
        <f>Source!P140</f>
        <v>2.2599999999999998</v>
      </c>
      <c r="K211" s="21"/>
    </row>
    <row r="212" spans="1:22" ht="14.25" x14ac:dyDescent="0.2">
      <c r="A212" s="18"/>
      <c r="B212" s="18"/>
      <c r="C212" s="18" t="s">
        <v>465</v>
      </c>
      <c r="D212" s="19" t="s">
        <v>466</v>
      </c>
      <c r="E212" s="9">
        <f>Source!AT140</f>
        <v>70</v>
      </c>
      <c r="F212" s="21"/>
      <c r="G212" s="20"/>
      <c r="H212" s="9"/>
      <c r="I212" s="9"/>
      <c r="J212" s="21">
        <f>SUM(R206:R211)</f>
        <v>5395.98</v>
      </c>
      <c r="K212" s="21"/>
    </row>
    <row r="213" spans="1:22" ht="14.25" x14ac:dyDescent="0.2">
      <c r="A213" s="18"/>
      <c r="B213" s="18"/>
      <c r="C213" s="18" t="s">
        <v>467</v>
      </c>
      <c r="D213" s="19" t="s">
        <v>466</v>
      </c>
      <c r="E213" s="9">
        <f>Source!AU140</f>
        <v>10</v>
      </c>
      <c r="F213" s="21"/>
      <c r="G213" s="20"/>
      <c r="H213" s="9"/>
      <c r="I213" s="9"/>
      <c r="J213" s="21">
        <f>SUM(T206:T212)</f>
        <v>770.85</v>
      </c>
      <c r="K213" s="21"/>
    </row>
    <row r="214" spans="1:22" ht="14.25" x14ac:dyDescent="0.2">
      <c r="A214" s="18"/>
      <c r="B214" s="18"/>
      <c r="C214" s="18" t="s">
        <v>468</v>
      </c>
      <c r="D214" s="19" t="s">
        <v>466</v>
      </c>
      <c r="E214" s="9">
        <f>108</f>
        <v>108</v>
      </c>
      <c r="F214" s="21"/>
      <c r="G214" s="20"/>
      <c r="H214" s="9"/>
      <c r="I214" s="9"/>
      <c r="J214" s="21">
        <f>SUM(V206:V213)</f>
        <v>1499.06</v>
      </c>
      <c r="K214" s="21"/>
    </row>
    <row r="215" spans="1:22" ht="14.25" x14ac:dyDescent="0.2">
      <c r="A215" s="18"/>
      <c r="B215" s="18"/>
      <c r="C215" s="18" t="s">
        <v>469</v>
      </c>
      <c r="D215" s="19" t="s">
        <v>470</v>
      </c>
      <c r="E215" s="9">
        <f>Source!AQ140</f>
        <v>6</v>
      </c>
      <c r="F215" s="21"/>
      <c r="G215" s="20" t="str">
        <f>Source!DI140</f>
        <v>)*4</v>
      </c>
      <c r="H215" s="9">
        <f>Source!AV140</f>
        <v>1</v>
      </c>
      <c r="I215" s="9"/>
      <c r="J215" s="21"/>
      <c r="K215" s="21">
        <f>Source!U140</f>
        <v>14.399999999999999</v>
      </c>
    </row>
    <row r="216" spans="1:22" ht="15" x14ac:dyDescent="0.25">
      <c r="A216" s="26"/>
      <c r="B216" s="26"/>
      <c r="C216" s="26"/>
      <c r="D216" s="26"/>
      <c r="E216" s="26"/>
      <c r="F216" s="26"/>
      <c r="G216" s="26"/>
      <c r="H216" s="26"/>
      <c r="I216" s="53">
        <f>J208+J209+J211+J212+J213+J214</f>
        <v>17565.75</v>
      </c>
      <c r="J216" s="53"/>
      <c r="K216" s="27">
        <f>IF(Source!I140&lt;&gt;0, ROUND(I216/Source!I140, 2), 0)</f>
        <v>29276.25</v>
      </c>
      <c r="P216" s="24">
        <f>I216</f>
        <v>17565.75</v>
      </c>
    </row>
    <row r="217" spans="1:22" ht="71.25" x14ac:dyDescent="0.2">
      <c r="A217" s="18">
        <v>21</v>
      </c>
      <c r="B217" s="18" t="str">
        <f>Source!F142</f>
        <v>1.21-2303-37-1/1</v>
      </c>
      <c r="C217" s="18" t="str">
        <f>Source!G142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217" s="19" t="str">
        <f>Source!H142</f>
        <v>10 шт.</v>
      </c>
      <c r="E217" s="9">
        <f>Source!I142</f>
        <v>18</v>
      </c>
      <c r="F217" s="21"/>
      <c r="G217" s="20"/>
      <c r="H217" s="9"/>
      <c r="I217" s="9"/>
      <c r="J217" s="21"/>
      <c r="K217" s="21"/>
      <c r="Q217">
        <f>ROUND((Source!BZ142/100)*ROUND((Source!AF142*Source!AV142)*Source!I142, 2), 2)</f>
        <v>1400.49</v>
      </c>
      <c r="R217">
        <f>Source!X142</f>
        <v>1400.49</v>
      </c>
      <c r="S217">
        <f>ROUND((Source!CA142/100)*ROUND((Source!AF142*Source!AV142)*Source!I142, 2), 2)</f>
        <v>200.07</v>
      </c>
      <c r="T217">
        <f>Source!Y142</f>
        <v>200.07</v>
      </c>
      <c r="U217">
        <f>ROUND((175/100)*ROUND((Source!AE142*Source!AV142)*Source!I142, 2), 2)</f>
        <v>0</v>
      </c>
      <c r="V217">
        <f>ROUND((108/100)*ROUND(Source!CS142*Source!I142, 2), 2)</f>
        <v>0</v>
      </c>
    </row>
    <row r="218" spans="1:22" x14ac:dyDescent="0.2">
      <c r="C218" s="22" t="str">
        <f>"Объем: "&amp;Source!I142&amp;"=(12*"&amp;"15)/"&amp;"10"</f>
        <v>Объем: 18=(12*15)/10</v>
      </c>
    </row>
    <row r="219" spans="1:22" ht="14.25" x14ac:dyDescent="0.2">
      <c r="A219" s="18"/>
      <c r="B219" s="18"/>
      <c r="C219" s="18" t="s">
        <v>461</v>
      </c>
      <c r="D219" s="19"/>
      <c r="E219" s="9"/>
      <c r="F219" s="21">
        <f>Source!AO142</f>
        <v>111.15</v>
      </c>
      <c r="G219" s="20" t="str">
        <f>Source!DG142</f>
        <v/>
      </c>
      <c r="H219" s="9">
        <f>Source!AV142</f>
        <v>1</v>
      </c>
      <c r="I219" s="9">
        <f>IF(Source!BA142&lt;&gt; 0, Source!BA142, 1)</f>
        <v>1</v>
      </c>
      <c r="J219" s="21">
        <f>Source!S142</f>
        <v>2000.7</v>
      </c>
      <c r="K219" s="21"/>
    </row>
    <row r="220" spans="1:22" ht="14.25" x14ac:dyDescent="0.2">
      <c r="A220" s="18"/>
      <c r="B220" s="18"/>
      <c r="C220" s="18" t="s">
        <v>464</v>
      </c>
      <c r="D220" s="19"/>
      <c r="E220" s="9"/>
      <c r="F220" s="21">
        <f>Source!AL142</f>
        <v>6.3</v>
      </c>
      <c r="G220" s="20" t="str">
        <f>Source!DD142</f>
        <v/>
      </c>
      <c r="H220" s="9">
        <f>Source!AW142</f>
        <v>1</v>
      </c>
      <c r="I220" s="9">
        <f>IF(Source!BC142&lt;&gt; 0, Source!BC142, 1)</f>
        <v>1</v>
      </c>
      <c r="J220" s="21">
        <f>Source!P142</f>
        <v>113.4</v>
      </c>
      <c r="K220" s="21"/>
    </row>
    <row r="221" spans="1:22" ht="14.25" x14ac:dyDescent="0.2">
      <c r="A221" s="18"/>
      <c r="B221" s="18"/>
      <c r="C221" s="18" t="s">
        <v>465</v>
      </c>
      <c r="D221" s="19" t="s">
        <v>466</v>
      </c>
      <c r="E221" s="9">
        <f>Source!AT142</f>
        <v>70</v>
      </c>
      <c r="F221" s="21"/>
      <c r="G221" s="20"/>
      <c r="H221" s="9"/>
      <c r="I221" s="9"/>
      <c r="J221" s="21">
        <f>SUM(R217:R220)</f>
        <v>1400.49</v>
      </c>
      <c r="K221" s="21"/>
    </row>
    <row r="222" spans="1:22" ht="14.25" x14ac:dyDescent="0.2">
      <c r="A222" s="18"/>
      <c r="B222" s="18"/>
      <c r="C222" s="18" t="s">
        <v>467</v>
      </c>
      <c r="D222" s="19" t="s">
        <v>466</v>
      </c>
      <c r="E222" s="9">
        <f>Source!AU142</f>
        <v>10</v>
      </c>
      <c r="F222" s="21"/>
      <c r="G222" s="20"/>
      <c r="H222" s="9"/>
      <c r="I222" s="9"/>
      <c r="J222" s="21">
        <f>SUM(T217:T221)</f>
        <v>200.07</v>
      </c>
      <c r="K222" s="21"/>
    </row>
    <row r="223" spans="1:22" ht="14.25" x14ac:dyDescent="0.2">
      <c r="A223" s="18"/>
      <c r="B223" s="18"/>
      <c r="C223" s="18" t="s">
        <v>469</v>
      </c>
      <c r="D223" s="19" t="s">
        <v>470</v>
      </c>
      <c r="E223" s="9">
        <f>Source!AQ142</f>
        <v>0.18</v>
      </c>
      <c r="F223" s="21"/>
      <c r="G223" s="20" t="str">
        <f>Source!DI142</f>
        <v/>
      </c>
      <c r="H223" s="9">
        <f>Source!AV142</f>
        <v>1</v>
      </c>
      <c r="I223" s="9"/>
      <c r="J223" s="21"/>
      <c r="K223" s="21">
        <f>Source!U142</f>
        <v>3.2399999999999998</v>
      </c>
    </row>
    <row r="224" spans="1:22" ht="15" x14ac:dyDescent="0.25">
      <c r="A224" s="26"/>
      <c r="B224" s="26"/>
      <c r="C224" s="26"/>
      <c r="D224" s="26"/>
      <c r="E224" s="26"/>
      <c r="F224" s="26"/>
      <c r="G224" s="26"/>
      <c r="H224" s="26"/>
      <c r="I224" s="53">
        <f>J219+J220+J221+J222</f>
        <v>3714.6600000000003</v>
      </c>
      <c r="J224" s="53"/>
      <c r="K224" s="27">
        <f>IF(Source!I142&lt;&gt;0, ROUND(I224/Source!I142, 2), 0)</f>
        <v>206.37</v>
      </c>
      <c r="P224" s="24">
        <f>I224</f>
        <v>3714.6600000000003</v>
      </c>
    </row>
    <row r="225" spans="1:22" ht="57" x14ac:dyDescent="0.2">
      <c r="A225" s="18">
        <v>22</v>
      </c>
      <c r="B225" s="18" t="str">
        <f>Source!F144</f>
        <v>1.21-2103-9-2/1</v>
      </c>
      <c r="C225" s="18" t="str">
        <f>Source!G144</f>
        <v>Техническое обслуживание силовых сетей, проложенных по кирпичным и бетонным основаниям, провод сечением 3х1,5-6 мм2 / прим. 3х2,5</v>
      </c>
      <c r="D225" s="19" t="str">
        <f>Source!H144</f>
        <v>100 м</v>
      </c>
      <c r="E225" s="9">
        <f>Source!I144</f>
        <v>0.18</v>
      </c>
      <c r="F225" s="21"/>
      <c r="G225" s="20"/>
      <c r="H225" s="9"/>
      <c r="I225" s="9"/>
      <c r="J225" s="21"/>
      <c r="K225" s="21"/>
      <c r="Q225">
        <f>ROUND((Source!BZ144/100)*ROUND((Source!AF144*Source!AV144)*Source!I144, 2), 2)</f>
        <v>674.5</v>
      </c>
      <c r="R225">
        <f>Source!X144</f>
        <v>674.5</v>
      </c>
      <c r="S225">
        <f>ROUND((Source!CA144/100)*ROUND((Source!AF144*Source!AV144)*Source!I144, 2), 2)</f>
        <v>96.36</v>
      </c>
      <c r="T225">
        <f>Source!Y144</f>
        <v>96.36</v>
      </c>
      <c r="U225">
        <f>ROUND((175/100)*ROUND((Source!AE144*Source!AV144)*Source!I144, 2), 2)</f>
        <v>0</v>
      </c>
      <c r="V225">
        <f>ROUND((108/100)*ROUND(Source!CS144*Source!I144, 2), 2)</f>
        <v>0</v>
      </c>
    </row>
    <row r="226" spans="1:22" x14ac:dyDescent="0.2">
      <c r="C226" s="22" t="str">
        <f>"Объем: "&amp;Source!I144&amp;"=(60*"&amp;"15)*"&amp;"0,2*"&amp;"0,1/"&amp;"100"</f>
        <v>Объем: 0,18=(60*15)*0,2*0,1/100</v>
      </c>
    </row>
    <row r="227" spans="1:22" ht="14.25" x14ac:dyDescent="0.2">
      <c r="A227" s="18"/>
      <c r="B227" s="18"/>
      <c r="C227" s="18" t="s">
        <v>461</v>
      </c>
      <c r="D227" s="19"/>
      <c r="E227" s="9"/>
      <c r="F227" s="21">
        <f>Source!AO144</f>
        <v>5353.15</v>
      </c>
      <c r="G227" s="20" t="str">
        <f>Source!DG144</f>
        <v/>
      </c>
      <c r="H227" s="9">
        <f>Source!AV144</f>
        <v>1</v>
      </c>
      <c r="I227" s="9">
        <f>IF(Source!BA144&lt;&gt; 0, Source!BA144, 1)</f>
        <v>1</v>
      </c>
      <c r="J227" s="21">
        <f>Source!S144</f>
        <v>963.57</v>
      </c>
      <c r="K227" s="21"/>
    </row>
    <row r="228" spans="1:22" ht="14.25" x14ac:dyDescent="0.2">
      <c r="A228" s="18"/>
      <c r="B228" s="18"/>
      <c r="C228" s="18" t="s">
        <v>464</v>
      </c>
      <c r="D228" s="19"/>
      <c r="E228" s="9"/>
      <c r="F228" s="21">
        <f>Source!AL144</f>
        <v>22.51</v>
      </c>
      <c r="G228" s="20" t="str">
        <f>Source!DD144</f>
        <v/>
      </c>
      <c r="H228" s="9">
        <f>Source!AW144</f>
        <v>1</v>
      </c>
      <c r="I228" s="9">
        <f>IF(Source!BC144&lt;&gt; 0, Source!BC144, 1)</f>
        <v>1</v>
      </c>
      <c r="J228" s="21">
        <f>Source!P144</f>
        <v>4.05</v>
      </c>
      <c r="K228" s="21"/>
    </row>
    <row r="229" spans="1:22" ht="14.25" x14ac:dyDescent="0.2">
      <c r="A229" s="18"/>
      <c r="B229" s="18"/>
      <c r="C229" s="18" t="s">
        <v>465</v>
      </c>
      <c r="D229" s="19" t="s">
        <v>466</v>
      </c>
      <c r="E229" s="9">
        <f>Source!AT144</f>
        <v>70</v>
      </c>
      <c r="F229" s="21"/>
      <c r="G229" s="20"/>
      <c r="H229" s="9"/>
      <c r="I229" s="9"/>
      <c r="J229" s="21">
        <f>SUM(R225:R228)</f>
        <v>674.5</v>
      </c>
      <c r="K229" s="21"/>
    </row>
    <row r="230" spans="1:22" ht="14.25" x14ac:dyDescent="0.2">
      <c r="A230" s="18"/>
      <c r="B230" s="18"/>
      <c r="C230" s="18" t="s">
        <v>467</v>
      </c>
      <c r="D230" s="19" t="s">
        <v>466</v>
      </c>
      <c r="E230" s="9">
        <f>Source!AU144</f>
        <v>10</v>
      </c>
      <c r="F230" s="21"/>
      <c r="G230" s="20"/>
      <c r="H230" s="9"/>
      <c r="I230" s="9"/>
      <c r="J230" s="21">
        <f>SUM(T225:T229)</f>
        <v>96.36</v>
      </c>
      <c r="K230" s="21"/>
    </row>
    <row r="231" spans="1:22" ht="14.25" x14ac:dyDescent="0.2">
      <c r="A231" s="18"/>
      <c r="B231" s="18"/>
      <c r="C231" s="18" t="s">
        <v>469</v>
      </c>
      <c r="D231" s="19" t="s">
        <v>470</v>
      </c>
      <c r="E231" s="9">
        <f>Source!AQ144</f>
        <v>10</v>
      </c>
      <c r="F231" s="21"/>
      <c r="G231" s="20" t="str">
        <f>Source!DI144</f>
        <v/>
      </c>
      <c r="H231" s="9">
        <f>Source!AV144</f>
        <v>1</v>
      </c>
      <c r="I231" s="9"/>
      <c r="J231" s="21"/>
      <c r="K231" s="21">
        <f>Source!U144</f>
        <v>1.7999999999999998</v>
      </c>
    </row>
    <row r="232" spans="1:22" ht="15" x14ac:dyDescent="0.25">
      <c r="A232" s="26"/>
      <c r="B232" s="26"/>
      <c r="C232" s="26"/>
      <c r="D232" s="26"/>
      <c r="E232" s="26"/>
      <c r="F232" s="26"/>
      <c r="G232" s="26"/>
      <c r="H232" s="26"/>
      <c r="I232" s="53">
        <f>J227+J228+J229+J230</f>
        <v>1738.4799999999998</v>
      </c>
      <c r="J232" s="53"/>
      <c r="K232" s="27">
        <f>IF(Source!I144&lt;&gt;0, ROUND(I232/Source!I144, 2), 0)</f>
        <v>9658.2199999999993</v>
      </c>
      <c r="P232" s="24">
        <f>I232</f>
        <v>1738.4799999999998</v>
      </c>
    </row>
    <row r="233" spans="1:22" ht="57" x14ac:dyDescent="0.2">
      <c r="A233" s="18">
        <v>23</v>
      </c>
      <c r="B233" s="18" t="str">
        <f>Source!F146</f>
        <v>1.21-2103-9-2/1</v>
      </c>
      <c r="C233" s="18" t="str">
        <f>Source!G146</f>
        <v>Техническое обслуживание силовых сетей, проложенных по кирпичным и бетонным основаниям, провод сечением 3х1,5-6 мм2</v>
      </c>
      <c r="D233" s="19" t="str">
        <f>Source!H146</f>
        <v>100 м</v>
      </c>
      <c r="E233" s="9">
        <f>Source!I146</f>
        <v>0.15</v>
      </c>
      <c r="F233" s="21"/>
      <c r="G233" s="20"/>
      <c r="H233" s="9"/>
      <c r="I233" s="9"/>
      <c r="J233" s="21"/>
      <c r="K233" s="21"/>
      <c r="Q233">
        <f>ROUND((Source!BZ146/100)*ROUND((Source!AF146*Source!AV146)*Source!I146, 2), 2)</f>
        <v>562.08000000000004</v>
      </c>
      <c r="R233">
        <f>Source!X146</f>
        <v>562.08000000000004</v>
      </c>
      <c r="S233">
        <f>ROUND((Source!CA146/100)*ROUND((Source!AF146*Source!AV146)*Source!I146, 2), 2)</f>
        <v>80.3</v>
      </c>
      <c r="T233">
        <f>Source!Y146</f>
        <v>80.3</v>
      </c>
      <c r="U233">
        <f>ROUND((175/100)*ROUND((Source!AE146*Source!AV146)*Source!I146, 2), 2)</f>
        <v>0</v>
      </c>
      <c r="V233">
        <f>ROUND((108/100)*ROUND(Source!CS146*Source!I146, 2), 2)</f>
        <v>0</v>
      </c>
    </row>
    <row r="234" spans="1:22" x14ac:dyDescent="0.2">
      <c r="C234" s="22" t="str">
        <f>"Объем: "&amp;Source!I146&amp;"=(50*"&amp;"15)*"&amp;"0,2*"&amp;"0,1/"&amp;"100"</f>
        <v>Объем: 0,15=(50*15)*0,2*0,1/100</v>
      </c>
    </row>
    <row r="235" spans="1:22" ht="14.25" x14ac:dyDescent="0.2">
      <c r="A235" s="18"/>
      <c r="B235" s="18"/>
      <c r="C235" s="18" t="s">
        <v>461</v>
      </c>
      <c r="D235" s="19"/>
      <c r="E235" s="9"/>
      <c r="F235" s="21">
        <f>Source!AO146</f>
        <v>5353.15</v>
      </c>
      <c r="G235" s="20" t="str">
        <f>Source!DG146</f>
        <v/>
      </c>
      <c r="H235" s="9">
        <f>Source!AV146</f>
        <v>1</v>
      </c>
      <c r="I235" s="9">
        <f>IF(Source!BA146&lt;&gt; 0, Source!BA146, 1)</f>
        <v>1</v>
      </c>
      <c r="J235" s="21">
        <f>Source!S146</f>
        <v>802.97</v>
      </c>
      <c r="K235" s="21"/>
    </row>
    <row r="236" spans="1:22" ht="14.25" x14ac:dyDescent="0.2">
      <c r="A236" s="18"/>
      <c r="B236" s="18"/>
      <c r="C236" s="18" t="s">
        <v>464</v>
      </c>
      <c r="D236" s="19"/>
      <c r="E236" s="9"/>
      <c r="F236" s="21">
        <f>Source!AL146</f>
        <v>22.51</v>
      </c>
      <c r="G236" s="20" t="str">
        <f>Source!DD146</f>
        <v/>
      </c>
      <c r="H236" s="9">
        <f>Source!AW146</f>
        <v>1</v>
      </c>
      <c r="I236" s="9">
        <f>IF(Source!BC146&lt;&gt; 0, Source!BC146, 1)</f>
        <v>1</v>
      </c>
      <c r="J236" s="21">
        <f>Source!P146</f>
        <v>3.38</v>
      </c>
      <c r="K236" s="21"/>
    </row>
    <row r="237" spans="1:22" ht="14.25" x14ac:dyDescent="0.2">
      <c r="A237" s="18"/>
      <c r="B237" s="18"/>
      <c r="C237" s="18" t="s">
        <v>465</v>
      </c>
      <c r="D237" s="19" t="s">
        <v>466</v>
      </c>
      <c r="E237" s="9">
        <f>Source!AT146</f>
        <v>70</v>
      </c>
      <c r="F237" s="21"/>
      <c r="G237" s="20"/>
      <c r="H237" s="9"/>
      <c r="I237" s="9"/>
      <c r="J237" s="21">
        <f>SUM(R233:R236)</f>
        <v>562.08000000000004</v>
      </c>
      <c r="K237" s="21"/>
    </row>
    <row r="238" spans="1:22" ht="14.25" x14ac:dyDescent="0.2">
      <c r="A238" s="18"/>
      <c r="B238" s="18"/>
      <c r="C238" s="18" t="s">
        <v>467</v>
      </c>
      <c r="D238" s="19" t="s">
        <v>466</v>
      </c>
      <c r="E238" s="9">
        <f>Source!AU146</f>
        <v>10</v>
      </c>
      <c r="F238" s="21"/>
      <c r="G238" s="20"/>
      <c r="H238" s="9"/>
      <c r="I238" s="9"/>
      <c r="J238" s="21">
        <f>SUM(T233:T237)</f>
        <v>80.3</v>
      </c>
      <c r="K238" s="21"/>
    </row>
    <row r="239" spans="1:22" ht="14.25" x14ac:dyDescent="0.2">
      <c r="A239" s="18"/>
      <c r="B239" s="18"/>
      <c r="C239" s="18" t="s">
        <v>469</v>
      </c>
      <c r="D239" s="19" t="s">
        <v>470</v>
      </c>
      <c r="E239" s="9">
        <f>Source!AQ146</f>
        <v>10</v>
      </c>
      <c r="F239" s="21"/>
      <c r="G239" s="20" t="str">
        <f>Source!DI146</f>
        <v/>
      </c>
      <c r="H239" s="9">
        <f>Source!AV146</f>
        <v>1</v>
      </c>
      <c r="I239" s="9"/>
      <c r="J239" s="21"/>
      <c r="K239" s="21">
        <f>Source!U146</f>
        <v>1.5</v>
      </c>
    </row>
    <row r="240" spans="1:22" ht="15" x14ac:dyDescent="0.25">
      <c r="A240" s="26"/>
      <c r="B240" s="26"/>
      <c r="C240" s="26"/>
      <c r="D240" s="26"/>
      <c r="E240" s="26"/>
      <c r="F240" s="26"/>
      <c r="G240" s="26"/>
      <c r="H240" s="26"/>
      <c r="I240" s="53">
        <f>J235+J236+J237+J238</f>
        <v>1448.73</v>
      </c>
      <c r="J240" s="53"/>
      <c r="K240" s="27">
        <f>IF(Source!I146&lt;&gt;0, ROUND(I240/Source!I146, 2), 0)</f>
        <v>9658.2000000000007</v>
      </c>
      <c r="P240" s="24">
        <f>I240</f>
        <v>1448.73</v>
      </c>
    </row>
    <row r="242" spans="1:22" ht="15" x14ac:dyDescent="0.25">
      <c r="A242" s="57" t="str">
        <f>CONCATENATE("Итого по подразделу: ",IF(Source!G149&lt;&gt;"Новый подраздел", Source!G149, ""))</f>
        <v>Итого по подразделу: Электрооборудование каждого модуля</v>
      </c>
      <c r="B242" s="57"/>
      <c r="C242" s="57"/>
      <c r="D242" s="57"/>
      <c r="E242" s="57"/>
      <c r="F242" s="57"/>
      <c r="G242" s="57"/>
      <c r="H242" s="57"/>
      <c r="I242" s="55">
        <f>SUM(P144:P241)</f>
        <v>645911.53</v>
      </c>
      <c r="J242" s="56"/>
      <c r="K242" s="28"/>
    </row>
    <row r="245" spans="1:22" ht="15" x14ac:dyDescent="0.25">
      <c r="A245" s="57" t="str">
        <f>CONCATENATE("Итого по разделу: ",IF(Source!G179&lt;&gt;"Новый раздел", Source!G179, ""))</f>
        <v>Итого по разделу: Туалетные модули 3 кабины в блоке. (15 модулей.)</v>
      </c>
      <c r="B245" s="57"/>
      <c r="C245" s="57"/>
      <c r="D245" s="57"/>
      <c r="E245" s="57"/>
      <c r="F245" s="57"/>
      <c r="G245" s="57"/>
      <c r="H245" s="57"/>
      <c r="I245" s="55">
        <f>SUM(P34:P244)</f>
        <v>1096948.2099999997</v>
      </c>
      <c r="J245" s="56"/>
      <c r="K245" s="28"/>
    </row>
    <row r="248" spans="1:22" ht="16.5" x14ac:dyDescent="0.25">
      <c r="A248" s="54" t="str">
        <f>CONCATENATE("Раздел: ",IF(Source!G209&lt;&gt;"Новый раздел", Source!G209, ""))</f>
        <v>Раздел: Туалетный модуль 2 кабины (4 шт.)</v>
      </c>
      <c r="B248" s="54"/>
      <c r="C248" s="54"/>
      <c r="D248" s="54"/>
      <c r="E248" s="54"/>
      <c r="F248" s="54"/>
      <c r="G248" s="54"/>
      <c r="H248" s="54"/>
      <c r="I248" s="54"/>
      <c r="J248" s="54"/>
      <c r="K248" s="54"/>
    </row>
    <row r="250" spans="1:22" ht="16.5" x14ac:dyDescent="0.25">
      <c r="A250" s="54" t="str">
        <f>CONCATENATE("Подраздел: ",IF(Source!G213&lt;&gt;"Новый подраздел", Source!G213, ""))</f>
        <v>Подраздел: Оборудование водоснабжения и водоотведения</v>
      </c>
      <c r="B250" s="54"/>
      <c r="C250" s="54"/>
      <c r="D250" s="54"/>
      <c r="E250" s="54"/>
      <c r="F250" s="54"/>
      <c r="G250" s="54"/>
      <c r="H250" s="54"/>
      <c r="I250" s="54"/>
      <c r="J250" s="54"/>
      <c r="K250" s="54"/>
    </row>
    <row r="251" spans="1:22" ht="28.5" x14ac:dyDescent="0.2">
      <c r="A251" s="18">
        <v>24</v>
      </c>
      <c r="B251" s="18" t="str">
        <f>Source!F219</f>
        <v>1.16-3201-2-1/1</v>
      </c>
      <c r="C251" s="18" t="str">
        <f>Source!G219</f>
        <v>Укрепление расшатавшихся санитарно-технических приборов - умывальники</v>
      </c>
      <c r="D251" s="19" t="str">
        <f>Source!H219</f>
        <v>100 шт.</v>
      </c>
      <c r="E251" s="9">
        <f>Source!I219</f>
        <v>0.08</v>
      </c>
      <c r="F251" s="21"/>
      <c r="G251" s="20"/>
      <c r="H251" s="9"/>
      <c r="I251" s="9"/>
      <c r="J251" s="21"/>
      <c r="K251" s="21"/>
      <c r="Q251">
        <f>ROUND((Source!BZ219/100)*ROUND((Source!AF219*Source!AV219)*Source!I219, 2), 2)</f>
        <v>2964.38</v>
      </c>
      <c r="R251">
        <f>Source!X219</f>
        <v>2964.38</v>
      </c>
      <c r="S251">
        <f>ROUND((Source!CA219/100)*ROUND((Source!AF219*Source!AV219)*Source!I219, 2), 2)</f>
        <v>423.48</v>
      </c>
      <c r="T251">
        <f>Source!Y219</f>
        <v>423.48</v>
      </c>
      <c r="U251">
        <f>ROUND((175/100)*ROUND((Source!AE219*Source!AV219)*Source!I219, 2), 2)</f>
        <v>0.11</v>
      </c>
      <c r="V251">
        <f>ROUND((108/100)*ROUND(Source!CS219*Source!I219, 2), 2)</f>
        <v>0.06</v>
      </c>
    </row>
    <row r="252" spans="1:22" x14ac:dyDescent="0.2">
      <c r="C252" s="22" t="str">
        <f>"Объем: "&amp;Source!I219&amp;"=(2*"&amp;"4)/"&amp;"100"</f>
        <v>Объем: 0,08=(2*4)/100</v>
      </c>
    </row>
    <row r="253" spans="1:22" ht="14.25" x14ac:dyDescent="0.2">
      <c r="A253" s="18"/>
      <c r="B253" s="18"/>
      <c r="C253" s="18" t="s">
        <v>461</v>
      </c>
      <c r="D253" s="19"/>
      <c r="E253" s="9"/>
      <c r="F253" s="21">
        <f>Source!AO219</f>
        <v>52935.41</v>
      </c>
      <c r="G253" s="20" t="str">
        <f>Source!DG219</f>
        <v/>
      </c>
      <c r="H253" s="9">
        <f>Source!AV219</f>
        <v>1</v>
      </c>
      <c r="I253" s="9">
        <f>IF(Source!BA219&lt;&gt; 0, Source!BA219, 1)</f>
        <v>1</v>
      </c>
      <c r="J253" s="21">
        <f>Source!S219</f>
        <v>4234.83</v>
      </c>
      <c r="K253" s="21"/>
    </row>
    <row r="254" spans="1:22" ht="14.25" x14ac:dyDescent="0.2">
      <c r="A254" s="18"/>
      <c r="B254" s="18"/>
      <c r="C254" s="18" t="s">
        <v>462</v>
      </c>
      <c r="D254" s="19"/>
      <c r="E254" s="9"/>
      <c r="F254" s="21">
        <f>Source!AM219</f>
        <v>61.83</v>
      </c>
      <c r="G254" s="20" t="str">
        <f>Source!DE219</f>
        <v/>
      </c>
      <c r="H254" s="9">
        <f>Source!AV219</f>
        <v>1</v>
      </c>
      <c r="I254" s="9">
        <f>IF(Source!BB219&lt;&gt; 0, Source!BB219, 1)</f>
        <v>1</v>
      </c>
      <c r="J254" s="21">
        <f>Source!Q219</f>
        <v>4.95</v>
      </c>
      <c r="K254" s="21"/>
    </row>
    <row r="255" spans="1:22" ht="14.25" x14ac:dyDescent="0.2">
      <c r="A255" s="18"/>
      <c r="B255" s="18"/>
      <c r="C255" s="18" t="s">
        <v>463</v>
      </c>
      <c r="D255" s="19"/>
      <c r="E255" s="9"/>
      <c r="F255" s="21">
        <f>Source!AN219</f>
        <v>0.7</v>
      </c>
      <c r="G255" s="20" t="str">
        <f>Source!DF219</f>
        <v/>
      </c>
      <c r="H255" s="9">
        <f>Source!AV219</f>
        <v>1</v>
      </c>
      <c r="I255" s="9">
        <f>IF(Source!BS219&lt;&gt; 0, Source!BS219, 1)</f>
        <v>1</v>
      </c>
      <c r="J255" s="23">
        <f>Source!R219</f>
        <v>0.06</v>
      </c>
      <c r="K255" s="21"/>
    </row>
    <row r="256" spans="1:22" ht="14.25" x14ac:dyDescent="0.2">
      <c r="A256" s="18"/>
      <c r="B256" s="18"/>
      <c r="C256" s="18" t="s">
        <v>464</v>
      </c>
      <c r="D256" s="19"/>
      <c r="E256" s="9"/>
      <c r="F256" s="21">
        <f>Source!AL219</f>
        <v>776.55</v>
      </c>
      <c r="G256" s="20" t="str">
        <f>Source!DD219</f>
        <v/>
      </c>
      <c r="H256" s="9">
        <f>Source!AW219</f>
        <v>1</v>
      </c>
      <c r="I256" s="9">
        <f>IF(Source!BC219&lt;&gt; 0, Source!BC219, 1)</f>
        <v>1</v>
      </c>
      <c r="J256" s="21">
        <f>Source!P219</f>
        <v>62.12</v>
      </c>
      <c r="K256" s="21"/>
    </row>
    <row r="257" spans="1:22" ht="14.25" x14ac:dyDescent="0.2">
      <c r="A257" s="18"/>
      <c r="B257" s="18"/>
      <c r="C257" s="18" t="s">
        <v>465</v>
      </c>
      <c r="D257" s="19" t="s">
        <v>466</v>
      </c>
      <c r="E257" s="9">
        <f>Source!AT219</f>
        <v>70</v>
      </c>
      <c r="F257" s="21"/>
      <c r="G257" s="20"/>
      <c r="H257" s="9"/>
      <c r="I257" s="9"/>
      <c r="J257" s="21">
        <f>SUM(R251:R256)</f>
        <v>2964.38</v>
      </c>
      <c r="K257" s="21"/>
    </row>
    <row r="258" spans="1:22" ht="14.25" x14ac:dyDescent="0.2">
      <c r="A258" s="18"/>
      <c r="B258" s="18"/>
      <c r="C258" s="18" t="s">
        <v>467</v>
      </c>
      <c r="D258" s="19" t="s">
        <v>466</v>
      </c>
      <c r="E258" s="9">
        <f>Source!AU219</f>
        <v>10</v>
      </c>
      <c r="F258" s="21"/>
      <c r="G258" s="20"/>
      <c r="H258" s="9"/>
      <c r="I258" s="9"/>
      <c r="J258" s="21">
        <f>SUM(T251:T257)</f>
        <v>423.48</v>
      </c>
      <c r="K258" s="21"/>
    </row>
    <row r="259" spans="1:22" ht="14.25" x14ac:dyDescent="0.2">
      <c r="A259" s="18"/>
      <c r="B259" s="18"/>
      <c r="C259" s="18" t="s">
        <v>468</v>
      </c>
      <c r="D259" s="19" t="s">
        <v>466</v>
      </c>
      <c r="E259" s="9">
        <f>108</f>
        <v>108</v>
      </c>
      <c r="F259" s="21"/>
      <c r="G259" s="20"/>
      <c r="H259" s="9"/>
      <c r="I259" s="9"/>
      <c r="J259" s="21">
        <f>SUM(V251:V258)</f>
        <v>0.06</v>
      </c>
      <c r="K259" s="21"/>
    </row>
    <row r="260" spans="1:22" ht="14.25" x14ac:dyDescent="0.2">
      <c r="A260" s="18"/>
      <c r="B260" s="18"/>
      <c r="C260" s="18" t="s">
        <v>469</v>
      </c>
      <c r="D260" s="19" t="s">
        <v>470</v>
      </c>
      <c r="E260" s="9">
        <f>Source!AQ219</f>
        <v>104.44</v>
      </c>
      <c r="F260" s="21"/>
      <c r="G260" s="20" t="str">
        <f>Source!DI219</f>
        <v/>
      </c>
      <c r="H260" s="9">
        <f>Source!AV219</f>
        <v>1</v>
      </c>
      <c r="I260" s="9"/>
      <c r="J260" s="21"/>
      <c r="K260" s="21">
        <f>Source!U219</f>
        <v>8.3552</v>
      </c>
    </row>
    <row r="261" spans="1:22" ht="15" x14ac:dyDescent="0.25">
      <c r="A261" s="26"/>
      <c r="B261" s="26"/>
      <c r="C261" s="26"/>
      <c r="D261" s="26"/>
      <c r="E261" s="26"/>
      <c r="F261" s="26"/>
      <c r="G261" s="26"/>
      <c r="H261" s="26"/>
      <c r="I261" s="53">
        <f>J253+J254+J256+J257+J258+J259</f>
        <v>7689.8200000000006</v>
      </c>
      <c r="J261" s="53"/>
      <c r="K261" s="27">
        <f>IF(Source!I219&lt;&gt;0, ROUND(I261/Source!I219, 2), 0)</f>
        <v>96122.75</v>
      </c>
      <c r="P261" s="24">
        <f>I261</f>
        <v>7689.8200000000006</v>
      </c>
    </row>
    <row r="262" spans="1:22" ht="42.75" x14ac:dyDescent="0.2">
      <c r="A262" s="18">
        <v>25</v>
      </c>
      <c r="B262" s="18" t="str">
        <f>Source!F220</f>
        <v>1.16-3201-2-2/1</v>
      </c>
      <c r="C262" s="18" t="str">
        <f>Source!G220</f>
        <v>Укрепление расшатавшихся санитарно-технических приборов - унитазы и биде</v>
      </c>
      <c r="D262" s="19" t="str">
        <f>Source!H220</f>
        <v>100 шт.</v>
      </c>
      <c r="E262" s="9">
        <f>Source!I220</f>
        <v>0.08</v>
      </c>
      <c r="F262" s="21"/>
      <c r="G262" s="20"/>
      <c r="H262" s="9"/>
      <c r="I262" s="9"/>
      <c r="J262" s="21"/>
      <c r="K262" s="21"/>
      <c r="Q262">
        <f>ROUND((Source!BZ220/100)*ROUND((Source!AF220*Source!AV220)*Source!I220, 2), 2)</f>
        <v>4312.32</v>
      </c>
      <c r="R262">
        <f>Source!X220</f>
        <v>4312.32</v>
      </c>
      <c r="S262">
        <f>ROUND((Source!CA220/100)*ROUND((Source!AF220*Source!AV220)*Source!I220, 2), 2)</f>
        <v>616.04999999999995</v>
      </c>
      <c r="T262">
        <f>Source!Y220</f>
        <v>616.04999999999995</v>
      </c>
      <c r="U262">
        <f>ROUND((175/100)*ROUND((Source!AE220*Source!AV220)*Source!I220, 2), 2)</f>
        <v>0.11</v>
      </c>
      <c r="V262">
        <f>ROUND((108/100)*ROUND(Source!CS220*Source!I220, 2), 2)</f>
        <v>0.06</v>
      </c>
    </row>
    <row r="263" spans="1:22" x14ac:dyDescent="0.2">
      <c r="C263" s="22" t="str">
        <f>"Объем: "&amp;Source!I220&amp;"=(2*"&amp;"4)/"&amp;"100"</f>
        <v>Объем: 0,08=(2*4)/100</v>
      </c>
    </row>
    <row r="264" spans="1:22" ht="14.25" x14ac:dyDescent="0.2">
      <c r="A264" s="18"/>
      <c r="B264" s="18"/>
      <c r="C264" s="18" t="s">
        <v>461</v>
      </c>
      <c r="D264" s="19"/>
      <c r="E264" s="9"/>
      <c r="F264" s="21">
        <f>Source!AO220</f>
        <v>77005.72</v>
      </c>
      <c r="G264" s="20" t="str">
        <f>Source!DG220</f>
        <v/>
      </c>
      <c r="H264" s="9">
        <f>Source!AV220</f>
        <v>1</v>
      </c>
      <c r="I264" s="9">
        <f>IF(Source!BA220&lt;&gt; 0, Source!BA220, 1)</f>
        <v>1</v>
      </c>
      <c r="J264" s="21">
        <f>Source!S220</f>
        <v>6160.46</v>
      </c>
      <c r="K264" s="21"/>
    </row>
    <row r="265" spans="1:22" ht="14.25" x14ac:dyDescent="0.2">
      <c r="A265" s="18"/>
      <c r="B265" s="18"/>
      <c r="C265" s="18" t="s">
        <v>462</v>
      </c>
      <c r="D265" s="19"/>
      <c r="E265" s="9"/>
      <c r="F265" s="21">
        <f>Source!AM220</f>
        <v>61.83</v>
      </c>
      <c r="G265" s="20" t="str">
        <f>Source!DE220</f>
        <v/>
      </c>
      <c r="H265" s="9">
        <f>Source!AV220</f>
        <v>1</v>
      </c>
      <c r="I265" s="9">
        <f>IF(Source!BB220&lt;&gt; 0, Source!BB220, 1)</f>
        <v>1</v>
      </c>
      <c r="J265" s="21">
        <f>Source!Q220</f>
        <v>4.95</v>
      </c>
      <c r="K265" s="21"/>
    </row>
    <row r="266" spans="1:22" ht="14.25" x14ac:dyDescent="0.2">
      <c r="A266" s="18"/>
      <c r="B266" s="18"/>
      <c r="C266" s="18" t="s">
        <v>463</v>
      </c>
      <c r="D266" s="19"/>
      <c r="E266" s="9"/>
      <c r="F266" s="21">
        <f>Source!AN220</f>
        <v>0.7</v>
      </c>
      <c r="G266" s="20" t="str">
        <f>Source!DF220</f>
        <v/>
      </c>
      <c r="H266" s="9">
        <f>Source!AV220</f>
        <v>1</v>
      </c>
      <c r="I266" s="9">
        <f>IF(Source!BS220&lt;&gt; 0, Source!BS220, 1)</f>
        <v>1</v>
      </c>
      <c r="J266" s="23">
        <f>Source!R220</f>
        <v>0.06</v>
      </c>
      <c r="K266" s="21"/>
    </row>
    <row r="267" spans="1:22" ht="14.25" x14ac:dyDescent="0.2">
      <c r="A267" s="18"/>
      <c r="B267" s="18"/>
      <c r="C267" s="18" t="s">
        <v>464</v>
      </c>
      <c r="D267" s="19"/>
      <c r="E267" s="9"/>
      <c r="F267" s="21">
        <f>Source!AL220</f>
        <v>776.55</v>
      </c>
      <c r="G267" s="20" t="str">
        <f>Source!DD220</f>
        <v/>
      </c>
      <c r="H267" s="9">
        <f>Source!AW220</f>
        <v>1</v>
      </c>
      <c r="I267" s="9">
        <f>IF(Source!BC220&lt;&gt; 0, Source!BC220, 1)</f>
        <v>1</v>
      </c>
      <c r="J267" s="21">
        <f>Source!P220</f>
        <v>62.12</v>
      </c>
      <c r="K267" s="21"/>
    </row>
    <row r="268" spans="1:22" ht="14.25" x14ac:dyDescent="0.2">
      <c r="A268" s="18"/>
      <c r="B268" s="18"/>
      <c r="C268" s="18" t="s">
        <v>465</v>
      </c>
      <c r="D268" s="19" t="s">
        <v>466</v>
      </c>
      <c r="E268" s="9">
        <f>Source!AT220</f>
        <v>70</v>
      </c>
      <c r="F268" s="21"/>
      <c r="G268" s="20"/>
      <c r="H268" s="9"/>
      <c r="I268" s="9"/>
      <c r="J268" s="21">
        <f>SUM(R262:R267)</f>
        <v>4312.32</v>
      </c>
      <c r="K268" s="21"/>
    </row>
    <row r="269" spans="1:22" ht="14.25" x14ac:dyDescent="0.2">
      <c r="A269" s="18"/>
      <c r="B269" s="18"/>
      <c r="C269" s="18" t="s">
        <v>467</v>
      </c>
      <c r="D269" s="19" t="s">
        <v>466</v>
      </c>
      <c r="E269" s="9">
        <f>Source!AU220</f>
        <v>10</v>
      </c>
      <c r="F269" s="21"/>
      <c r="G269" s="20"/>
      <c r="H269" s="9"/>
      <c r="I269" s="9"/>
      <c r="J269" s="21">
        <f>SUM(T262:T268)</f>
        <v>616.04999999999995</v>
      </c>
      <c r="K269" s="21"/>
    </row>
    <row r="270" spans="1:22" ht="14.25" x14ac:dyDescent="0.2">
      <c r="A270" s="18"/>
      <c r="B270" s="18"/>
      <c r="C270" s="18" t="s">
        <v>468</v>
      </c>
      <c r="D270" s="19" t="s">
        <v>466</v>
      </c>
      <c r="E270" s="9">
        <f>108</f>
        <v>108</v>
      </c>
      <c r="F270" s="21"/>
      <c r="G270" s="20"/>
      <c r="H270" s="9"/>
      <c r="I270" s="9"/>
      <c r="J270" s="21">
        <f>SUM(V262:V269)</f>
        <v>0.06</v>
      </c>
      <c r="K270" s="21"/>
    </row>
    <row r="271" spans="1:22" ht="14.25" x14ac:dyDescent="0.2">
      <c r="A271" s="18"/>
      <c r="B271" s="18"/>
      <c r="C271" s="18" t="s">
        <v>469</v>
      </c>
      <c r="D271" s="19" t="s">
        <v>470</v>
      </c>
      <c r="E271" s="9">
        <f>Source!AQ220</f>
        <v>151.93</v>
      </c>
      <c r="F271" s="21"/>
      <c r="G271" s="20" t="str">
        <f>Source!DI220</f>
        <v/>
      </c>
      <c r="H271" s="9">
        <f>Source!AV220</f>
        <v>1</v>
      </c>
      <c r="I271" s="9"/>
      <c r="J271" s="21"/>
      <c r="K271" s="21">
        <f>Source!U220</f>
        <v>12.154400000000001</v>
      </c>
    </row>
    <row r="272" spans="1:22" ht="15" x14ac:dyDescent="0.25">
      <c r="A272" s="26"/>
      <c r="B272" s="26"/>
      <c r="C272" s="26"/>
      <c r="D272" s="26"/>
      <c r="E272" s="26"/>
      <c r="F272" s="26"/>
      <c r="G272" s="26"/>
      <c r="H272" s="26"/>
      <c r="I272" s="53">
        <f>J264+J265+J267+J268+J269+J270</f>
        <v>11155.959999999997</v>
      </c>
      <c r="J272" s="53"/>
      <c r="K272" s="27">
        <f>IF(Source!I220&lt;&gt;0, ROUND(I272/Source!I220, 2), 0)</f>
        <v>139449.5</v>
      </c>
      <c r="P272" s="24">
        <f>I272</f>
        <v>11155.959999999997</v>
      </c>
    </row>
    <row r="273" spans="1:22" ht="42.75" x14ac:dyDescent="0.2">
      <c r="A273" s="18">
        <v>26</v>
      </c>
      <c r="B273" s="18" t="str">
        <f>Source!F224</f>
        <v>1.23-2103-41-1/1</v>
      </c>
      <c r="C273" s="18" t="str">
        <f>Source!G224</f>
        <v>Техническое обслуживание регулирующего клапана / Смеситель для раковины</v>
      </c>
      <c r="D273" s="19" t="str">
        <f>Source!H224</f>
        <v>шт.</v>
      </c>
      <c r="E273" s="9">
        <f>Source!I224</f>
        <v>8</v>
      </c>
      <c r="F273" s="21"/>
      <c r="G273" s="20"/>
      <c r="H273" s="9"/>
      <c r="I273" s="9"/>
      <c r="J273" s="21"/>
      <c r="K273" s="21"/>
      <c r="Q273">
        <f>ROUND((Source!BZ224/100)*ROUND((Source!AF224*Source!AV224)*Source!I224, 2), 2)</f>
        <v>1164.8</v>
      </c>
      <c r="R273">
        <f>Source!X224</f>
        <v>1164.8</v>
      </c>
      <c r="S273">
        <f>ROUND((Source!CA224/100)*ROUND((Source!AF224*Source!AV224)*Source!I224, 2), 2)</f>
        <v>166.4</v>
      </c>
      <c r="T273">
        <f>Source!Y224</f>
        <v>166.4</v>
      </c>
      <c r="U273">
        <f>ROUND((175/100)*ROUND((Source!AE224*Source!AV224)*Source!I224, 2), 2)</f>
        <v>693.98</v>
      </c>
      <c r="V273">
        <f>ROUND((108/100)*ROUND(Source!CS224*Source!I224, 2), 2)</f>
        <v>428.28</v>
      </c>
    </row>
    <row r="274" spans="1:22" x14ac:dyDescent="0.2">
      <c r="C274" s="22" t="str">
        <f>"Объем: "&amp;Source!I224&amp;"=(2)*"&amp;"4"</f>
        <v>Объем: 8=(2)*4</v>
      </c>
    </row>
    <row r="275" spans="1:22" ht="14.25" x14ac:dyDescent="0.2">
      <c r="A275" s="18"/>
      <c r="B275" s="18"/>
      <c r="C275" s="18" t="s">
        <v>461</v>
      </c>
      <c r="D275" s="19"/>
      <c r="E275" s="9"/>
      <c r="F275" s="21">
        <f>Source!AO224</f>
        <v>208</v>
      </c>
      <c r="G275" s="20" t="str">
        <f>Source!DG224</f>
        <v/>
      </c>
      <c r="H275" s="9">
        <f>Source!AV224</f>
        <v>1</v>
      </c>
      <c r="I275" s="9">
        <f>IF(Source!BA224&lt;&gt; 0, Source!BA224, 1)</f>
        <v>1</v>
      </c>
      <c r="J275" s="21">
        <f>Source!S224</f>
        <v>1664</v>
      </c>
      <c r="K275" s="21"/>
    </row>
    <row r="276" spans="1:22" ht="14.25" x14ac:dyDescent="0.2">
      <c r="A276" s="18"/>
      <c r="B276" s="18"/>
      <c r="C276" s="18" t="s">
        <v>462</v>
      </c>
      <c r="D276" s="19"/>
      <c r="E276" s="9"/>
      <c r="F276" s="21">
        <f>Source!AM224</f>
        <v>78.180000000000007</v>
      </c>
      <c r="G276" s="20" t="str">
        <f>Source!DE224</f>
        <v/>
      </c>
      <c r="H276" s="9">
        <f>Source!AV224</f>
        <v>1</v>
      </c>
      <c r="I276" s="9">
        <f>IF(Source!BB224&lt;&gt; 0, Source!BB224, 1)</f>
        <v>1</v>
      </c>
      <c r="J276" s="21">
        <f>Source!Q224</f>
        <v>625.44000000000005</v>
      </c>
      <c r="K276" s="21"/>
    </row>
    <row r="277" spans="1:22" ht="14.25" x14ac:dyDescent="0.2">
      <c r="A277" s="18"/>
      <c r="B277" s="18"/>
      <c r="C277" s="18" t="s">
        <v>463</v>
      </c>
      <c r="D277" s="19"/>
      <c r="E277" s="9"/>
      <c r="F277" s="21">
        <f>Source!AN224</f>
        <v>49.57</v>
      </c>
      <c r="G277" s="20" t="str">
        <f>Source!DF224</f>
        <v/>
      </c>
      <c r="H277" s="9">
        <f>Source!AV224</f>
        <v>1</v>
      </c>
      <c r="I277" s="9">
        <f>IF(Source!BS224&lt;&gt; 0, Source!BS224, 1)</f>
        <v>1</v>
      </c>
      <c r="J277" s="23">
        <f>Source!R224</f>
        <v>396.56</v>
      </c>
      <c r="K277" s="21"/>
    </row>
    <row r="278" spans="1:22" ht="14.25" x14ac:dyDescent="0.2">
      <c r="A278" s="18"/>
      <c r="B278" s="18"/>
      <c r="C278" s="18" t="s">
        <v>465</v>
      </c>
      <c r="D278" s="19" t="s">
        <v>466</v>
      </c>
      <c r="E278" s="9">
        <f>Source!AT224</f>
        <v>70</v>
      </c>
      <c r="F278" s="21"/>
      <c r="G278" s="20"/>
      <c r="H278" s="9"/>
      <c r="I278" s="9"/>
      <c r="J278" s="21">
        <f>SUM(R273:R277)</f>
        <v>1164.8</v>
      </c>
      <c r="K278" s="21"/>
    </row>
    <row r="279" spans="1:22" ht="14.25" x14ac:dyDescent="0.2">
      <c r="A279" s="18"/>
      <c r="B279" s="18"/>
      <c r="C279" s="18" t="s">
        <v>467</v>
      </c>
      <c r="D279" s="19" t="s">
        <v>466</v>
      </c>
      <c r="E279" s="9">
        <f>Source!AU224</f>
        <v>10</v>
      </c>
      <c r="F279" s="21"/>
      <c r="G279" s="20"/>
      <c r="H279" s="9"/>
      <c r="I279" s="9"/>
      <c r="J279" s="21">
        <f>SUM(T273:T278)</f>
        <v>166.4</v>
      </c>
      <c r="K279" s="21"/>
    </row>
    <row r="280" spans="1:22" ht="14.25" x14ac:dyDescent="0.2">
      <c r="A280" s="18"/>
      <c r="B280" s="18"/>
      <c r="C280" s="18" t="s">
        <v>468</v>
      </c>
      <c r="D280" s="19" t="s">
        <v>466</v>
      </c>
      <c r="E280" s="9">
        <f>108</f>
        <v>108</v>
      </c>
      <c r="F280" s="21"/>
      <c r="G280" s="20"/>
      <c r="H280" s="9"/>
      <c r="I280" s="9"/>
      <c r="J280" s="21">
        <f>SUM(V273:V279)</f>
        <v>428.28</v>
      </c>
      <c r="K280" s="21"/>
    </row>
    <row r="281" spans="1:22" ht="14.25" x14ac:dyDescent="0.2">
      <c r="A281" s="18"/>
      <c r="B281" s="18"/>
      <c r="C281" s="18" t="s">
        <v>469</v>
      </c>
      <c r="D281" s="19" t="s">
        <v>470</v>
      </c>
      <c r="E281" s="9">
        <f>Source!AQ224</f>
        <v>0.37</v>
      </c>
      <c r="F281" s="21"/>
      <c r="G281" s="20" t="str">
        <f>Source!DI224</f>
        <v/>
      </c>
      <c r="H281" s="9">
        <f>Source!AV224</f>
        <v>1</v>
      </c>
      <c r="I281" s="9"/>
      <c r="J281" s="21"/>
      <c r="K281" s="21">
        <f>Source!U224</f>
        <v>2.96</v>
      </c>
    </row>
    <row r="282" spans="1:22" ht="15" x14ac:dyDescent="0.25">
      <c r="A282" s="26"/>
      <c r="B282" s="26"/>
      <c r="C282" s="26"/>
      <c r="D282" s="26"/>
      <c r="E282" s="26"/>
      <c r="F282" s="26"/>
      <c r="G282" s="26"/>
      <c r="H282" s="26"/>
      <c r="I282" s="53">
        <f>J275+J276+J278+J279+J280</f>
        <v>4048.92</v>
      </c>
      <c r="J282" s="53"/>
      <c r="K282" s="27">
        <f>IF(Source!I224&lt;&gt;0, ROUND(I282/Source!I224, 2), 0)</f>
        <v>506.12</v>
      </c>
      <c r="P282" s="24">
        <f>I282</f>
        <v>4048.92</v>
      </c>
    </row>
    <row r="283" spans="1:22" ht="28.5" x14ac:dyDescent="0.2">
      <c r="A283" s="18">
        <v>27</v>
      </c>
      <c r="B283" s="18" t="str">
        <f>Source!F225</f>
        <v>1.16-3201-1-1/1</v>
      </c>
      <c r="C283" s="18" t="str">
        <f>Source!G225</f>
        <v>Регулировка смывного бачка</v>
      </c>
      <c r="D283" s="19" t="str">
        <f>Source!H225</f>
        <v>100 приборов</v>
      </c>
      <c r="E283" s="9">
        <f>Source!I225</f>
        <v>0.08</v>
      </c>
      <c r="F283" s="21"/>
      <c r="G283" s="20"/>
      <c r="H283" s="9"/>
      <c r="I283" s="9"/>
      <c r="J283" s="21"/>
      <c r="K283" s="21"/>
      <c r="Q283">
        <f>ROUND((Source!BZ225/100)*ROUND((Source!AF225*Source!AV225)*Source!I225, 2), 2)</f>
        <v>890.18</v>
      </c>
      <c r="R283">
        <f>Source!X225</f>
        <v>890.18</v>
      </c>
      <c r="S283">
        <f>ROUND((Source!CA225/100)*ROUND((Source!AF225*Source!AV225)*Source!I225, 2), 2)</f>
        <v>127.17</v>
      </c>
      <c r="T283">
        <f>Source!Y225</f>
        <v>127.17</v>
      </c>
      <c r="U283">
        <f>ROUND((175/100)*ROUND((Source!AE225*Source!AV225)*Source!I225, 2), 2)</f>
        <v>0</v>
      </c>
      <c r="V283">
        <f>ROUND((108/100)*ROUND(Source!CS225*Source!I225, 2), 2)</f>
        <v>0</v>
      </c>
    </row>
    <row r="284" spans="1:22" x14ac:dyDescent="0.2">
      <c r="C284" s="22" t="str">
        <f>"Объем: "&amp;Source!I225&amp;"=2*"&amp;"4/"&amp;"100"</f>
        <v>Объем: 0,08=2*4/100</v>
      </c>
    </row>
    <row r="285" spans="1:22" ht="14.25" x14ac:dyDescent="0.2">
      <c r="A285" s="18"/>
      <c r="B285" s="18"/>
      <c r="C285" s="18" t="s">
        <v>461</v>
      </c>
      <c r="D285" s="19"/>
      <c r="E285" s="9"/>
      <c r="F285" s="21">
        <f>Source!AO225</f>
        <v>15896.11</v>
      </c>
      <c r="G285" s="20" t="str">
        <f>Source!DG225</f>
        <v/>
      </c>
      <c r="H285" s="9">
        <f>Source!AV225</f>
        <v>1</v>
      </c>
      <c r="I285" s="9">
        <f>IF(Source!BA225&lt;&gt; 0, Source!BA225, 1)</f>
        <v>1</v>
      </c>
      <c r="J285" s="21">
        <f>Source!S225</f>
        <v>1271.69</v>
      </c>
      <c r="K285" s="21"/>
    </row>
    <row r="286" spans="1:22" ht="14.25" x14ac:dyDescent="0.2">
      <c r="A286" s="18"/>
      <c r="B286" s="18"/>
      <c r="C286" s="18" t="s">
        <v>465</v>
      </c>
      <c r="D286" s="19" t="s">
        <v>466</v>
      </c>
      <c r="E286" s="9">
        <f>Source!AT225</f>
        <v>70</v>
      </c>
      <c r="F286" s="21"/>
      <c r="G286" s="20"/>
      <c r="H286" s="9"/>
      <c r="I286" s="9"/>
      <c r="J286" s="21">
        <f>SUM(R283:R285)</f>
        <v>890.18</v>
      </c>
      <c r="K286" s="21"/>
    </row>
    <row r="287" spans="1:22" ht="14.25" x14ac:dyDescent="0.2">
      <c r="A287" s="18"/>
      <c r="B287" s="18"/>
      <c r="C287" s="18" t="s">
        <v>467</v>
      </c>
      <c r="D287" s="19" t="s">
        <v>466</v>
      </c>
      <c r="E287" s="9">
        <f>Source!AU225</f>
        <v>10</v>
      </c>
      <c r="F287" s="21"/>
      <c r="G287" s="20"/>
      <c r="H287" s="9"/>
      <c r="I287" s="9"/>
      <c r="J287" s="21">
        <f>SUM(T283:T286)</f>
        <v>127.17</v>
      </c>
      <c r="K287" s="21"/>
    </row>
    <row r="288" spans="1:22" ht="14.25" x14ac:dyDescent="0.2">
      <c r="A288" s="18"/>
      <c r="B288" s="18"/>
      <c r="C288" s="18" t="s">
        <v>469</v>
      </c>
      <c r="D288" s="19" t="s">
        <v>470</v>
      </c>
      <c r="E288" s="9">
        <f>Source!AQ225</f>
        <v>26.7</v>
      </c>
      <c r="F288" s="21"/>
      <c r="G288" s="20" t="str">
        <f>Source!DI225</f>
        <v/>
      </c>
      <c r="H288" s="9">
        <f>Source!AV225</f>
        <v>1</v>
      </c>
      <c r="I288" s="9"/>
      <c r="J288" s="21"/>
      <c r="K288" s="21">
        <f>Source!U225</f>
        <v>2.1360000000000001</v>
      </c>
    </row>
    <row r="289" spans="1:22" ht="15" x14ac:dyDescent="0.25">
      <c r="A289" s="26"/>
      <c r="B289" s="26"/>
      <c r="C289" s="26"/>
      <c r="D289" s="26"/>
      <c r="E289" s="26"/>
      <c r="F289" s="26"/>
      <c r="G289" s="26"/>
      <c r="H289" s="26"/>
      <c r="I289" s="53">
        <f>J285+J286+J287</f>
        <v>2289.04</v>
      </c>
      <c r="J289" s="53"/>
      <c r="K289" s="27">
        <f>IF(Source!I225&lt;&gt;0, ROUND(I289/Source!I225, 2), 0)</f>
        <v>28613</v>
      </c>
      <c r="P289" s="24">
        <f>I289</f>
        <v>2289.04</v>
      </c>
    </row>
    <row r="290" spans="1:22" ht="14.25" x14ac:dyDescent="0.2">
      <c r="A290" s="18">
        <v>28</v>
      </c>
      <c r="B290" s="18" t="str">
        <f>Source!F226</f>
        <v>1.16-2203-1-1/1</v>
      </c>
      <c r="C290" s="18" t="str">
        <f>Source!G226</f>
        <v>Прочистка сифонов</v>
      </c>
      <c r="D290" s="19" t="str">
        <f>Source!H226</f>
        <v>100 шт.</v>
      </c>
      <c r="E290" s="9">
        <f>Source!I226</f>
        <v>0.08</v>
      </c>
      <c r="F290" s="21"/>
      <c r="G290" s="20"/>
      <c r="H290" s="9"/>
      <c r="I290" s="9"/>
      <c r="J290" s="21"/>
      <c r="K290" s="21"/>
      <c r="Q290">
        <f>ROUND((Source!BZ226/100)*ROUND((Source!AF226*Source!AV226)*Source!I226, 2), 2)</f>
        <v>795.31</v>
      </c>
      <c r="R290">
        <f>Source!X226</f>
        <v>795.31</v>
      </c>
      <c r="S290">
        <f>ROUND((Source!CA226/100)*ROUND((Source!AF226*Source!AV226)*Source!I226, 2), 2)</f>
        <v>113.62</v>
      </c>
      <c r="T290">
        <f>Source!Y226</f>
        <v>113.62</v>
      </c>
      <c r="U290">
        <f>ROUND((175/100)*ROUND((Source!AE226*Source!AV226)*Source!I226, 2), 2)</f>
        <v>0</v>
      </c>
      <c r="V290">
        <f>ROUND((108/100)*ROUND(Source!CS226*Source!I226, 2), 2)</f>
        <v>0</v>
      </c>
    </row>
    <row r="291" spans="1:22" x14ac:dyDescent="0.2">
      <c r="C291" s="22" t="str">
        <f>"Объем: "&amp;Source!I226&amp;"=2*"&amp;"4/"&amp;"100"</f>
        <v>Объем: 0,08=2*4/100</v>
      </c>
    </row>
    <row r="292" spans="1:22" ht="14.25" x14ac:dyDescent="0.2">
      <c r="A292" s="18"/>
      <c r="B292" s="18"/>
      <c r="C292" s="18" t="s">
        <v>461</v>
      </c>
      <c r="D292" s="19"/>
      <c r="E292" s="9"/>
      <c r="F292" s="21">
        <f>Source!AO226</f>
        <v>14201.94</v>
      </c>
      <c r="G292" s="20" t="str">
        <f>Source!DG226</f>
        <v/>
      </c>
      <c r="H292" s="9">
        <f>Source!AV226</f>
        <v>1</v>
      </c>
      <c r="I292" s="9">
        <f>IF(Source!BA226&lt;&gt; 0, Source!BA226, 1)</f>
        <v>1</v>
      </c>
      <c r="J292" s="21">
        <f>Source!S226</f>
        <v>1136.1600000000001</v>
      </c>
      <c r="K292" s="21"/>
    </row>
    <row r="293" spans="1:22" ht="14.25" x14ac:dyDescent="0.2">
      <c r="A293" s="18"/>
      <c r="B293" s="18"/>
      <c r="C293" s="18" t="s">
        <v>464</v>
      </c>
      <c r="D293" s="19"/>
      <c r="E293" s="9"/>
      <c r="F293" s="21">
        <f>Source!AL226</f>
        <v>243.57</v>
      </c>
      <c r="G293" s="20" t="str">
        <f>Source!DD226</f>
        <v/>
      </c>
      <c r="H293" s="9">
        <f>Source!AW226</f>
        <v>1</v>
      </c>
      <c r="I293" s="9">
        <f>IF(Source!BC226&lt;&gt; 0, Source!BC226, 1)</f>
        <v>1</v>
      </c>
      <c r="J293" s="21">
        <f>Source!P226</f>
        <v>19.489999999999998</v>
      </c>
      <c r="K293" s="21"/>
    </row>
    <row r="294" spans="1:22" ht="14.25" x14ac:dyDescent="0.2">
      <c r="A294" s="18"/>
      <c r="B294" s="18"/>
      <c r="C294" s="18" t="s">
        <v>465</v>
      </c>
      <c r="D294" s="19" t="s">
        <v>466</v>
      </c>
      <c r="E294" s="9">
        <f>Source!AT226</f>
        <v>70</v>
      </c>
      <c r="F294" s="21"/>
      <c r="G294" s="20"/>
      <c r="H294" s="9"/>
      <c r="I294" s="9"/>
      <c r="J294" s="21">
        <f>SUM(R290:R293)</f>
        <v>795.31</v>
      </c>
      <c r="K294" s="21"/>
    </row>
    <row r="295" spans="1:22" ht="14.25" x14ac:dyDescent="0.2">
      <c r="A295" s="18"/>
      <c r="B295" s="18"/>
      <c r="C295" s="18" t="s">
        <v>467</v>
      </c>
      <c r="D295" s="19" t="s">
        <v>466</v>
      </c>
      <c r="E295" s="9">
        <f>Source!AU226</f>
        <v>10</v>
      </c>
      <c r="F295" s="21"/>
      <c r="G295" s="20"/>
      <c r="H295" s="9"/>
      <c r="I295" s="9"/>
      <c r="J295" s="21">
        <f>SUM(T290:T294)</f>
        <v>113.62</v>
      </c>
      <c r="K295" s="21"/>
    </row>
    <row r="296" spans="1:22" ht="14.25" x14ac:dyDescent="0.2">
      <c r="A296" s="18"/>
      <c r="B296" s="18"/>
      <c r="C296" s="18" t="s">
        <v>469</v>
      </c>
      <c r="D296" s="19" t="s">
        <v>470</v>
      </c>
      <c r="E296" s="9">
        <f>Source!AQ226</f>
        <v>28.02</v>
      </c>
      <c r="F296" s="21"/>
      <c r="G296" s="20" t="str">
        <f>Source!DI226</f>
        <v/>
      </c>
      <c r="H296" s="9">
        <f>Source!AV226</f>
        <v>1</v>
      </c>
      <c r="I296" s="9"/>
      <c r="J296" s="21"/>
      <c r="K296" s="21">
        <f>Source!U226</f>
        <v>2.2416</v>
      </c>
    </row>
    <row r="297" spans="1:22" ht="15" x14ac:dyDescent="0.25">
      <c r="A297" s="26"/>
      <c r="B297" s="26"/>
      <c r="C297" s="26"/>
      <c r="D297" s="26"/>
      <c r="E297" s="26"/>
      <c r="F297" s="26"/>
      <c r="G297" s="26"/>
      <c r="H297" s="26"/>
      <c r="I297" s="53">
        <f>J292+J293+J294+J295</f>
        <v>2064.58</v>
      </c>
      <c r="J297" s="53"/>
      <c r="K297" s="27">
        <f>IF(Source!I226&lt;&gt;0, ROUND(I297/Source!I226, 2), 0)</f>
        <v>25807.25</v>
      </c>
      <c r="P297" s="24">
        <f>I297</f>
        <v>2064.58</v>
      </c>
    </row>
    <row r="298" spans="1:22" ht="28.5" x14ac:dyDescent="0.2">
      <c r="A298" s="18">
        <v>29</v>
      </c>
      <c r="B298" s="18" t="str">
        <f>Source!F229</f>
        <v>1.15-2303-4-1/1</v>
      </c>
      <c r="C298" s="18" t="str">
        <f>Source!G229</f>
        <v>Прочистка сетчатых фильтров грубой очистки воды диаметром до 25 мм</v>
      </c>
      <c r="D298" s="19" t="str">
        <f>Source!H229</f>
        <v>10 шт.</v>
      </c>
      <c r="E298" s="9">
        <f>Source!I229</f>
        <v>0.8</v>
      </c>
      <c r="F298" s="21"/>
      <c r="G298" s="20"/>
      <c r="H298" s="9"/>
      <c r="I298" s="9"/>
      <c r="J298" s="21"/>
      <c r="K298" s="21"/>
      <c r="Q298">
        <f>ROUND((Source!BZ229/100)*ROUND((Source!AF229*Source!AV229)*Source!I229, 2), 2)</f>
        <v>705.42</v>
      </c>
      <c r="R298">
        <f>Source!X229</f>
        <v>705.42</v>
      </c>
      <c r="S298">
        <f>ROUND((Source!CA229/100)*ROUND((Source!AF229*Source!AV229)*Source!I229, 2), 2)</f>
        <v>100.77</v>
      </c>
      <c r="T298">
        <f>Source!Y229</f>
        <v>100.77</v>
      </c>
      <c r="U298">
        <f>ROUND((175/100)*ROUND((Source!AE229*Source!AV229)*Source!I229, 2), 2)</f>
        <v>0</v>
      </c>
      <c r="V298">
        <f>ROUND((108/100)*ROUND(Source!CS229*Source!I229, 2), 2)</f>
        <v>0</v>
      </c>
    </row>
    <row r="299" spans="1:22" x14ac:dyDescent="0.2">
      <c r="C299" s="22" t="str">
        <f>"Объем: "&amp;Source!I229&amp;"=2*"&amp;"4/"&amp;"10"</f>
        <v>Объем: 0,8=2*4/10</v>
      </c>
    </row>
    <row r="300" spans="1:22" ht="14.25" x14ac:dyDescent="0.2">
      <c r="A300" s="18"/>
      <c r="B300" s="18"/>
      <c r="C300" s="18" t="s">
        <v>461</v>
      </c>
      <c r="D300" s="19"/>
      <c r="E300" s="9"/>
      <c r="F300" s="21">
        <f>Source!AO229</f>
        <v>1259.68</v>
      </c>
      <c r="G300" s="20" t="str">
        <f>Source!DG229</f>
        <v/>
      </c>
      <c r="H300" s="9">
        <f>Source!AV229</f>
        <v>1</v>
      </c>
      <c r="I300" s="9">
        <f>IF(Source!BA229&lt;&gt; 0, Source!BA229, 1)</f>
        <v>1</v>
      </c>
      <c r="J300" s="21">
        <f>Source!S229</f>
        <v>1007.74</v>
      </c>
      <c r="K300" s="21"/>
    </row>
    <row r="301" spans="1:22" ht="14.25" x14ac:dyDescent="0.2">
      <c r="A301" s="18"/>
      <c r="B301" s="18"/>
      <c r="C301" s="18" t="s">
        <v>465</v>
      </c>
      <c r="D301" s="19" t="s">
        <v>466</v>
      </c>
      <c r="E301" s="9">
        <f>Source!AT229</f>
        <v>70</v>
      </c>
      <c r="F301" s="21"/>
      <c r="G301" s="20"/>
      <c r="H301" s="9"/>
      <c r="I301" s="9"/>
      <c r="J301" s="21">
        <f>SUM(R298:R300)</f>
        <v>705.42</v>
      </c>
      <c r="K301" s="21"/>
    </row>
    <row r="302" spans="1:22" ht="14.25" x14ac:dyDescent="0.2">
      <c r="A302" s="18"/>
      <c r="B302" s="18"/>
      <c r="C302" s="18" t="s">
        <v>467</v>
      </c>
      <c r="D302" s="19" t="s">
        <v>466</v>
      </c>
      <c r="E302" s="9">
        <f>Source!AU229</f>
        <v>10</v>
      </c>
      <c r="F302" s="21"/>
      <c r="G302" s="20"/>
      <c r="H302" s="9"/>
      <c r="I302" s="9"/>
      <c r="J302" s="21">
        <f>SUM(T298:T301)</f>
        <v>100.77</v>
      </c>
      <c r="K302" s="21"/>
    </row>
    <row r="303" spans="1:22" ht="14.25" x14ac:dyDescent="0.2">
      <c r="A303" s="18"/>
      <c r="B303" s="18"/>
      <c r="C303" s="18" t="s">
        <v>469</v>
      </c>
      <c r="D303" s="19" t="s">
        <v>470</v>
      </c>
      <c r="E303" s="9">
        <f>Source!AQ229</f>
        <v>2.04</v>
      </c>
      <c r="F303" s="21"/>
      <c r="G303" s="20" t="str">
        <f>Source!DI229</f>
        <v/>
      </c>
      <c r="H303" s="9">
        <f>Source!AV229</f>
        <v>1</v>
      </c>
      <c r="I303" s="9"/>
      <c r="J303" s="21"/>
      <c r="K303" s="21">
        <f>Source!U229</f>
        <v>1.6320000000000001</v>
      </c>
    </row>
    <row r="304" spans="1:22" ht="15" x14ac:dyDescent="0.25">
      <c r="A304" s="26"/>
      <c r="B304" s="26"/>
      <c r="C304" s="26"/>
      <c r="D304" s="26"/>
      <c r="E304" s="26"/>
      <c r="F304" s="26"/>
      <c r="G304" s="26"/>
      <c r="H304" s="26"/>
      <c r="I304" s="53">
        <f>J300+J301+J302</f>
        <v>1813.9299999999998</v>
      </c>
      <c r="J304" s="53"/>
      <c r="K304" s="27">
        <f>IF(Source!I229&lt;&gt;0, ROUND(I304/Source!I229, 2), 0)</f>
        <v>2267.41</v>
      </c>
      <c r="P304" s="24">
        <f>I304</f>
        <v>1813.9299999999998</v>
      </c>
    </row>
    <row r="306" spans="1:22" ht="15" x14ac:dyDescent="0.25">
      <c r="A306" s="57" t="str">
        <f>CONCATENATE("Итого по подразделу: ",IF(Source!G238&lt;&gt;"Новый подраздел", Source!G238, ""))</f>
        <v>Итого по подразделу: Оборудование водоснабжения и водоотведения</v>
      </c>
      <c r="B306" s="57"/>
      <c r="C306" s="57"/>
      <c r="D306" s="57"/>
      <c r="E306" s="57"/>
      <c r="F306" s="57"/>
      <c r="G306" s="57"/>
      <c r="H306" s="57"/>
      <c r="I306" s="55">
        <f>SUM(P250:P305)</f>
        <v>29062.25</v>
      </c>
      <c r="J306" s="56"/>
      <c r="K306" s="28"/>
    </row>
    <row r="309" spans="1:22" ht="16.5" x14ac:dyDescent="0.25">
      <c r="A309" s="54" t="str">
        <f>CONCATENATE("Подраздел: ",IF(Source!G268&lt;&gt;"Новый подраздел", Source!G268, ""))</f>
        <v>Подраздел: Техническое помещение общее на модуль</v>
      </c>
      <c r="B309" s="54"/>
      <c r="C309" s="54"/>
      <c r="D309" s="54"/>
      <c r="E309" s="54"/>
      <c r="F309" s="54"/>
      <c r="G309" s="54"/>
      <c r="H309" s="54"/>
      <c r="I309" s="54"/>
      <c r="J309" s="54"/>
      <c r="K309" s="54"/>
    </row>
    <row r="310" spans="1:22" ht="42.75" x14ac:dyDescent="0.2">
      <c r="A310" s="18">
        <v>30</v>
      </c>
      <c r="B310" s="18" t="str">
        <f>Source!F272</f>
        <v>1.21-2303-24-1/1</v>
      </c>
      <c r="C310" s="18" t="str">
        <f>Source!G272</f>
        <v>Техническое обслуживание электроводонагревателей объемом до 80 литров</v>
      </c>
      <c r="D310" s="19" t="str">
        <f>Source!H272</f>
        <v>шт.</v>
      </c>
      <c r="E310" s="9">
        <f>Source!I272</f>
        <v>4</v>
      </c>
      <c r="F310" s="21"/>
      <c r="G310" s="20"/>
      <c r="H310" s="9"/>
      <c r="I310" s="9"/>
      <c r="J310" s="21"/>
      <c r="K310" s="21"/>
      <c r="Q310">
        <f>ROUND((Source!BZ272/100)*ROUND((Source!AF272*Source!AV272)*Source!I272, 2), 2)</f>
        <v>3483.28</v>
      </c>
      <c r="R310">
        <f>Source!X272</f>
        <v>3483.28</v>
      </c>
      <c r="S310">
        <f>ROUND((Source!CA272/100)*ROUND((Source!AF272*Source!AV272)*Source!I272, 2), 2)</f>
        <v>497.61</v>
      </c>
      <c r="T310">
        <f>Source!Y272</f>
        <v>497.61</v>
      </c>
      <c r="U310">
        <f>ROUND((175/100)*ROUND((Source!AE272*Source!AV272)*Source!I272, 2), 2)</f>
        <v>6263.39</v>
      </c>
      <c r="V310">
        <f>ROUND((108/100)*ROUND(Source!CS272*Source!I272, 2), 2)</f>
        <v>3865.41</v>
      </c>
    </row>
    <row r="311" spans="1:22" x14ac:dyDescent="0.2">
      <c r="C311" s="22" t="str">
        <f>"Объем: "&amp;Source!I272&amp;"=1*"&amp;"4"</f>
        <v>Объем: 4=1*4</v>
      </c>
    </row>
    <row r="312" spans="1:22" ht="14.25" x14ac:dyDescent="0.2">
      <c r="A312" s="18"/>
      <c r="B312" s="18"/>
      <c r="C312" s="18" t="s">
        <v>461</v>
      </c>
      <c r="D312" s="19"/>
      <c r="E312" s="9"/>
      <c r="F312" s="21">
        <f>Source!AO272</f>
        <v>1244.03</v>
      </c>
      <c r="G312" s="20" t="str">
        <f>Source!DG272</f>
        <v/>
      </c>
      <c r="H312" s="9">
        <f>Source!AV272</f>
        <v>1</v>
      </c>
      <c r="I312" s="9">
        <f>IF(Source!BA272&lt;&gt; 0, Source!BA272, 1)</f>
        <v>1</v>
      </c>
      <c r="J312" s="21">
        <f>Source!S272</f>
        <v>4976.12</v>
      </c>
      <c r="K312" s="21"/>
    </row>
    <row r="313" spans="1:22" ht="14.25" x14ac:dyDescent="0.2">
      <c r="A313" s="18"/>
      <c r="B313" s="18"/>
      <c r="C313" s="18" t="s">
        <v>462</v>
      </c>
      <c r="D313" s="19"/>
      <c r="E313" s="9"/>
      <c r="F313" s="21">
        <f>Source!AM272</f>
        <v>1411.16</v>
      </c>
      <c r="G313" s="20" t="str">
        <f>Source!DE272</f>
        <v/>
      </c>
      <c r="H313" s="9">
        <f>Source!AV272</f>
        <v>1</v>
      </c>
      <c r="I313" s="9">
        <f>IF(Source!BB272&lt;&gt; 0, Source!BB272, 1)</f>
        <v>1</v>
      </c>
      <c r="J313" s="21">
        <f>Source!Q272</f>
        <v>5644.64</v>
      </c>
      <c r="K313" s="21"/>
    </row>
    <row r="314" spans="1:22" ht="14.25" x14ac:dyDescent="0.2">
      <c r="A314" s="18"/>
      <c r="B314" s="18"/>
      <c r="C314" s="18" t="s">
        <v>463</v>
      </c>
      <c r="D314" s="19"/>
      <c r="E314" s="9"/>
      <c r="F314" s="21">
        <f>Source!AN272</f>
        <v>894.77</v>
      </c>
      <c r="G314" s="20" t="str">
        <f>Source!DF272</f>
        <v/>
      </c>
      <c r="H314" s="9">
        <f>Source!AV272</f>
        <v>1</v>
      </c>
      <c r="I314" s="9">
        <f>IF(Source!BS272&lt;&gt; 0, Source!BS272, 1)</f>
        <v>1</v>
      </c>
      <c r="J314" s="23">
        <f>Source!R272</f>
        <v>3579.08</v>
      </c>
      <c r="K314" s="21"/>
    </row>
    <row r="315" spans="1:22" ht="14.25" x14ac:dyDescent="0.2">
      <c r="A315" s="18"/>
      <c r="B315" s="18"/>
      <c r="C315" s="18" t="s">
        <v>464</v>
      </c>
      <c r="D315" s="19"/>
      <c r="E315" s="9"/>
      <c r="F315" s="21">
        <f>Source!AL272</f>
        <v>0.63</v>
      </c>
      <c r="G315" s="20" t="str">
        <f>Source!DD272</f>
        <v/>
      </c>
      <c r="H315" s="9">
        <f>Source!AW272</f>
        <v>1</v>
      </c>
      <c r="I315" s="9">
        <f>IF(Source!BC272&lt;&gt; 0, Source!BC272, 1)</f>
        <v>1</v>
      </c>
      <c r="J315" s="21">
        <f>Source!P272</f>
        <v>2.52</v>
      </c>
      <c r="K315" s="21"/>
    </row>
    <row r="316" spans="1:22" ht="14.25" x14ac:dyDescent="0.2">
      <c r="A316" s="18"/>
      <c r="B316" s="18"/>
      <c r="C316" s="18" t="s">
        <v>465</v>
      </c>
      <c r="D316" s="19" t="s">
        <v>466</v>
      </c>
      <c r="E316" s="9">
        <f>Source!AT272</f>
        <v>70</v>
      </c>
      <c r="F316" s="21"/>
      <c r="G316" s="20"/>
      <c r="H316" s="9"/>
      <c r="I316" s="9"/>
      <c r="J316" s="21">
        <f>SUM(R310:R315)</f>
        <v>3483.28</v>
      </c>
      <c r="K316" s="21"/>
    </row>
    <row r="317" spans="1:22" ht="14.25" x14ac:dyDescent="0.2">
      <c r="A317" s="18"/>
      <c r="B317" s="18"/>
      <c r="C317" s="18" t="s">
        <v>467</v>
      </c>
      <c r="D317" s="19" t="s">
        <v>466</v>
      </c>
      <c r="E317" s="9">
        <f>Source!AU272</f>
        <v>10</v>
      </c>
      <c r="F317" s="21"/>
      <c r="G317" s="20"/>
      <c r="H317" s="9"/>
      <c r="I317" s="9"/>
      <c r="J317" s="21">
        <f>SUM(T310:T316)</f>
        <v>497.61</v>
      </c>
      <c r="K317" s="21"/>
    </row>
    <row r="318" spans="1:22" ht="14.25" x14ac:dyDescent="0.2">
      <c r="A318" s="18"/>
      <c r="B318" s="18"/>
      <c r="C318" s="18" t="s">
        <v>468</v>
      </c>
      <c r="D318" s="19" t="s">
        <v>466</v>
      </c>
      <c r="E318" s="9">
        <f>108</f>
        <v>108</v>
      </c>
      <c r="F318" s="21"/>
      <c r="G318" s="20"/>
      <c r="H318" s="9"/>
      <c r="I318" s="9"/>
      <c r="J318" s="21">
        <f>SUM(V310:V317)</f>
        <v>3865.41</v>
      </c>
      <c r="K318" s="21"/>
    </row>
    <row r="319" spans="1:22" ht="14.25" x14ac:dyDescent="0.2">
      <c r="A319" s="18"/>
      <c r="B319" s="18"/>
      <c r="C319" s="18" t="s">
        <v>469</v>
      </c>
      <c r="D319" s="19" t="s">
        <v>470</v>
      </c>
      <c r="E319" s="9">
        <f>Source!AQ272</f>
        <v>1.75</v>
      </c>
      <c r="F319" s="21"/>
      <c r="G319" s="20" t="str">
        <f>Source!DI272</f>
        <v/>
      </c>
      <c r="H319" s="9">
        <f>Source!AV272</f>
        <v>1</v>
      </c>
      <c r="I319" s="9"/>
      <c r="J319" s="21"/>
      <c r="K319" s="21">
        <f>Source!U272</f>
        <v>7</v>
      </c>
    </row>
    <row r="320" spans="1:22" ht="15" x14ac:dyDescent="0.25">
      <c r="A320" s="26"/>
      <c r="B320" s="26"/>
      <c r="C320" s="26"/>
      <c r="D320" s="26"/>
      <c r="E320" s="26"/>
      <c r="F320" s="26"/>
      <c r="G320" s="26"/>
      <c r="H320" s="26"/>
      <c r="I320" s="53">
        <f>J312+J313+J315+J316+J317+J318</f>
        <v>18469.580000000002</v>
      </c>
      <c r="J320" s="53"/>
      <c r="K320" s="27">
        <f>IF(Source!I272&lt;&gt;0, ROUND(I320/Source!I272, 2), 0)</f>
        <v>4617.3999999999996</v>
      </c>
      <c r="P320" s="24">
        <f>I320</f>
        <v>18469.580000000002</v>
      </c>
    </row>
    <row r="321" spans="1:22" ht="42.75" x14ac:dyDescent="0.2">
      <c r="A321" s="18">
        <v>31</v>
      </c>
      <c r="B321" s="18" t="str">
        <f>Source!F273</f>
        <v>1.24-2103-16-1/1</v>
      </c>
      <c r="C321" s="18" t="str">
        <f>Source!G273</f>
        <v>Техническое обслуживание погружных насосов мощностью от 2,1 кВт до 16 кВт / прим.</v>
      </c>
      <c r="D321" s="19" t="str">
        <f>Source!H273</f>
        <v>шт.</v>
      </c>
      <c r="E321" s="9">
        <f>Source!I273</f>
        <v>4</v>
      </c>
      <c r="F321" s="21"/>
      <c r="G321" s="20"/>
      <c r="H321" s="9"/>
      <c r="I321" s="9"/>
      <c r="J321" s="21"/>
      <c r="K321" s="21"/>
      <c r="Q321">
        <f>ROUND((Source!BZ273/100)*ROUND((Source!AF273*Source!AV273)*Source!I273, 2), 2)</f>
        <v>10680.96</v>
      </c>
      <c r="R321">
        <f>Source!X273</f>
        <v>10680.96</v>
      </c>
      <c r="S321">
        <f>ROUND((Source!CA273/100)*ROUND((Source!AF273*Source!AV273)*Source!I273, 2), 2)</f>
        <v>1525.85</v>
      </c>
      <c r="T321">
        <f>Source!Y273</f>
        <v>1525.85</v>
      </c>
      <c r="U321">
        <f>ROUND((175/100)*ROUND((Source!AE273*Source!AV273)*Source!I273, 2), 2)</f>
        <v>7.91</v>
      </c>
      <c r="V321">
        <f>ROUND((108/100)*ROUND(Source!CS273*Source!I273, 2), 2)</f>
        <v>4.88</v>
      </c>
    </row>
    <row r="322" spans="1:22" x14ac:dyDescent="0.2">
      <c r="C322" s="22" t="str">
        <f>"Объем: "&amp;Source!I273&amp;"=1*"&amp;"4"</f>
        <v>Объем: 4=1*4</v>
      </c>
    </row>
    <row r="323" spans="1:22" ht="14.25" x14ac:dyDescent="0.2">
      <c r="A323" s="18"/>
      <c r="B323" s="18"/>
      <c r="C323" s="18" t="s">
        <v>461</v>
      </c>
      <c r="D323" s="19"/>
      <c r="E323" s="9"/>
      <c r="F323" s="21">
        <f>Source!AO273</f>
        <v>3814.63</v>
      </c>
      <c r="G323" s="20" t="str">
        <f>Source!DG273</f>
        <v/>
      </c>
      <c r="H323" s="9">
        <f>Source!AV273</f>
        <v>1</v>
      </c>
      <c r="I323" s="9">
        <f>IF(Source!BA273&lt;&gt; 0, Source!BA273, 1)</f>
        <v>1</v>
      </c>
      <c r="J323" s="21">
        <f>Source!S273</f>
        <v>15258.52</v>
      </c>
      <c r="K323" s="21"/>
    </row>
    <row r="324" spans="1:22" ht="14.25" x14ac:dyDescent="0.2">
      <c r="A324" s="18"/>
      <c r="B324" s="18"/>
      <c r="C324" s="18" t="s">
        <v>462</v>
      </c>
      <c r="D324" s="19"/>
      <c r="E324" s="9"/>
      <c r="F324" s="21">
        <f>Source!AM273</f>
        <v>26.53</v>
      </c>
      <c r="G324" s="20" t="str">
        <f>Source!DE273</f>
        <v/>
      </c>
      <c r="H324" s="9">
        <f>Source!AV273</f>
        <v>1</v>
      </c>
      <c r="I324" s="9">
        <f>IF(Source!BB273&lt;&gt; 0, Source!BB273, 1)</f>
        <v>1</v>
      </c>
      <c r="J324" s="21">
        <f>Source!Q273</f>
        <v>106.12</v>
      </c>
      <c r="K324" s="21"/>
    </row>
    <row r="325" spans="1:22" ht="14.25" x14ac:dyDescent="0.2">
      <c r="A325" s="18"/>
      <c r="B325" s="18"/>
      <c r="C325" s="18" t="s">
        <v>463</v>
      </c>
      <c r="D325" s="19"/>
      <c r="E325" s="9"/>
      <c r="F325" s="21">
        <f>Source!AN273</f>
        <v>1.1299999999999999</v>
      </c>
      <c r="G325" s="20" t="str">
        <f>Source!DF273</f>
        <v/>
      </c>
      <c r="H325" s="9">
        <f>Source!AV273</f>
        <v>1</v>
      </c>
      <c r="I325" s="9">
        <f>IF(Source!BS273&lt;&gt; 0, Source!BS273, 1)</f>
        <v>1</v>
      </c>
      <c r="J325" s="23">
        <f>Source!R273</f>
        <v>4.5199999999999996</v>
      </c>
      <c r="K325" s="21"/>
    </row>
    <row r="326" spans="1:22" ht="14.25" x14ac:dyDescent="0.2">
      <c r="A326" s="18"/>
      <c r="B326" s="18"/>
      <c r="C326" s="18" t="s">
        <v>464</v>
      </c>
      <c r="D326" s="19"/>
      <c r="E326" s="9"/>
      <c r="F326" s="21">
        <f>Source!AL273</f>
        <v>5881.34</v>
      </c>
      <c r="G326" s="20" t="str">
        <f>Source!DD273</f>
        <v/>
      </c>
      <c r="H326" s="9">
        <f>Source!AW273</f>
        <v>1</v>
      </c>
      <c r="I326" s="9">
        <f>IF(Source!BC273&lt;&gt; 0, Source!BC273, 1)</f>
        <v>1</v>
      </c>
      <c r="J326" s="21">
        <f>Source!P273</f>
        <v>23525.360000000001</v>
      </c>
      <c r="K326" s="21"/>
    </row>
    <row r="327" spans="1:22" ht="14.25" x14ac:dyDescent="0.2">
      <c r="A327" s="18"/>
      <c r="B327" s="18"/>
      <c r="C327" s="18" t="s">
        <v>465</v>
      </c>
      <c r="D327" s="19" t="s">
        <v>466</v>
      </c>
      <c r="E327" s="9">
        <f>Source!AT273</f>
        <v>70</v>
      </c>
      <c r="F327" s="21"/>
      <c r="G327" s="20"/>
      <c r="H327" s="9"/>
      <c r="I327" s="9"/>
      <c r="J327" s="21">
        <f>SUM(R321:R326)</f>
        <v>10680.96</v>
      </c>
      <c r="K327" s="21"/>
    </row>
    <row r="328" spans="1:22" ht="14.25" x14ac:dyDescent="0.2">
      <c r="A328" s="18"/>
      <c r="B328" s="18"/>
      <c r="C328" s="18" t="s">
        <v>467</v>
      </c>
      <c r="D328" s="19" t="s">
        <v>466</v>
      </c>
      <c r="E328" s="9">
        <f>Source!AU273</f>
        <v>10</v>
      </c>
      <c r="F328" s="21"/>
      <c r="G328" s="20"/>
      <c r="H328" s="9"/>
      <c r="I328" s="9"/>
      <c r="J328" s="21">
        <f>SUM(T321:T327)</f>
        <v>1525.85</v>
      </c>
      <c r="K328" s="21"/>
    </row>
    <row r="329" spans="1:22" ht="14.25" x14ac:dyDescent="0.2">
      <c r="A329" s="18"/>
      <c r="B329" s="18"/>
      <c r="C329" s="18" t="s">
        <v>468</v>
      </c>
      <c r="D329" s="19" t="s">
        <v>466</v>
      </c>
      <c r="E329" s="9">
        <f>108</f>
        <v>108</v>
      </c>
      <c r="F329" s="21"/>
      <c r="G329" s="20"/>
      <c r="H329" s="9"/>
      <c r="I329" s="9"/>
      <c r="J329" s="21">
        <f>SUM(V321:V328)</f>
        <v>4.88</v>
      </c>
      <c r="K329" s="21"/>
    </row>
    <row r="330" spans="1:22" ht="14.25" x14ac:dyDescent="0.2">
      <c r="A330" s="18"/>
      <c r="B330" s="18"/>
      <c r="C330" s="18" t="s">
        <v>469</v>
      </c>
      <c r="D330" s="19" t="s">
        <v>470</v>
      </c>
      <c r="E330" s="9">
        <f>Source!AQ273</f>
        <v>5.7</v>
      </c>
      <c r="F330" s="21"/>
      <c r="G330" s="20" t="str">
        <f>Source!DI273</f>
        <v/>
      </c>
      <c r="H330" s="9">
        <f>Source!AV273</f>
        <v>1</v>
      </c>
      <c r="I330" s="9"/>
      <c r="J330" s="21"/>
      <c r="K330" s="21">
        <f>Source!U273</f>
        <v>22.8</v>
      </c>
    </row>
    <row r="331" spans="1:22" ht="15" x14ac:dyDescent="0.25">
      <c r="A331" s="26"/>
      <c r="B331" s="26"/>
      <c r="C331" s="26"/>
      <c r="D331" s="26"/>
      <c r="E331" s="26"/>
      <c r="F331" s="26"/>
      <c r="G331" s="26"/>
      <c r="H331" s="26"/>
      <c r="I331" s="53">
        <f>J323+J324+J326+J327+J328+J329</f>
        <v>51101.689999999995</v>
      </c>
      <c r="J331" s="53"/>
      <c r="K331" s="27">
        <f>IF(Source!I273&lt;&gt;0, ROUND(I331/Source!I273, 2), 0)</f>
        <v>12775.42</v>
      </c>
      <c r="P331" s="24">
        <f>I331</f>
        <v>51101.689999999995</v>
      </c>
    </row>
    <row r="332" spans="1:22" ht="42.75" x14ac:dyDescent="0.2">
      <c r="A332" s="18">
        <v>32</v>
      </c>
      <c r="B332" s="18" t="str">
        <f>Source!F276</f>
        <v>1.17-2103-14-1/1</v>
      </c>
      <c r="C332" s="18" t="str">
        <f>Source!G276</f>
        <v>Техническое обслуживание мембранного расширительного бака объемом 100 л</v>
      </c>
      <c r="D332" s="19" t="str">
        <f>Source!H276</f>
        <v>шт.</v>
      </c>
      <c r="E332" s="9">
        <f>Source!I276</f>
        <v>4</v>
      </c>
      <c r="F332" s="21"/>
      <c r="G332" s="20"/>
      <c r="H332" s="9"/>
      <c r="I332" s="9"/>
      <c r="J332" s="21"/>
      <c r="K332" s="21"/>
      <c r="Q332">
        <f>ROUND((Source!BZ276/100)*ROUND((Source!AF276*Source!AV276)*Source!I276, 2), 2)</f>
        <v>1002.79</v>
      </c>
      <c r="R332">
        <f>Source!X276</f>
        <v>1002.79</v>
      </c>
      <c r="S332">
        <f>ROUND((Source!CA276/100)*ROUND((Source!AF276*Source!AV276)*Source!I276, 2), 2)</f>
        <v>143.26</v>
      </c>
      <c r="T332">
        <f>Source!Y276</f>
        <v>143.26</v>
      </c>
      <c r="U332">
        <f>ROUND((175/100)*ROUND((Source!AE276*Source!AV276)*Source!I276, 2), 2)</f>
        <v>0</v>
      </c>
      <c r="V332">
        <f>ROUND((108/100)*ROUND(Source!CS276*Source!I276, 2), 2)</f>
        <v>0</v>
      </c>
    </row>
    <row r="333" spans="1:22" ht="14.25" x14ac:dyDescent="0.2">
      <c r="A333" s="18"/>
      <c r="B333" s="18"/>
      <c r="C333" s="18" t="s">
        <v>461</v>
      </c>
      <c r="D333" s="19"/>
      <c r="E333" s="9"/>
      <c r="F333" s="21">
        <f>Source!AO276</f>
        <v>358.14</v>
      </c>
      <c r="G333" s="20" t="str">
        <f>Source!DG276</f>
        <v/>
      </c>
      <c r="H333" s="9">
        <f>Source!AV276</f>
        <v>1</v>
      </c>
      <c r="I333" s="9">
        <f>IF(Source!BA276&lt;&gt; 0, Source!BA276, 1)</f>
        <v>1</v>
      </c>
      <c r="J333" s="21">
        <f>Source!S276</f>
        <v>1432.56</v>
      </c>
      <c r="K333" s="21"/>
    </row>
    <row r="334" spans="1:22" ht="14.25" x14ac:dyDescent="0.2">
      <c r="A334" s="18"/>
      <c r="B334" s="18"/>
      <c r="C334" s="18" t="s">
        <v>464</v>
      </c>
      <c r="D334" s="19"/>
      <c r="E334" s="9"/>
      <c r="F334" s="21">
        <f>Source!AL276</f>
        <v>0.63</v>
      </c>
      <c r="G334" s="20" t="str">
        <f>Source!DD276</f>
        <v/>
      </c>
      <c r="H334" s="9">
        <f>Source!AW276</f>
        <v>1</v>
      </c>
      <c r="I334" s="9">
        <f>IF(Source!BC276&lt;&gt; 0, Source!BC276, 1)</f>
        <v>1</v>
      </c>
      <c r="J334" s="21">
        <f>Source!P276</f>
        <v>2.52</v>
      </c>
      <c r="K334" s="21"/>
    </row>
    <row r="335" spans="1:22" ht="14.25" x14ac:dyDescent="0.2">
      <c r="A335" s="18"/>
      <c r="B335" s="18"/>
      <c r="C335" s="18" t="s">
        <v>465</v>
      </c>
      <c r="D335" s="19" t="s">
        <v>466</v>
      </c>
      <c r="E335" s="9">
        <f>Source!AT276</f>
        <v>70</v>
      </c>
      <c r="F335" s="21"/>
      <c r="G335" s="20"/>
      <c r="H335" s="9"/>
      <c r="I335" s="9"/>
      <c r="J335" s="21">
        <f>SUM(R332:R334)</f>
        <v>1002.79</v>
      </c>
      <c r="K335" s="21"/>
    </row>
    <row r="336" spans="1:22" ht="14.25" x14ac:dyDescent="0.2">
      <c r="A336" s="18"/>
      <c r="B336" s="18"/>
      <c r="C336" s="18" t="s">
        <v>467</v>
      </c>
      <c r="D336" s="19" t="s">
        <v>466</v>
      </c>
      <c r="E336" s="9">
        <f>Source!AU276</f>
        <v>10</v>
      </c>
      <c r="F336" s="21"/>
      <c r="G336" s="20"/>
      <c r="H336" s="9"/>
      <c r="I336" s="9"/>
      <c r="J336" s="21">
        <f>SUM(T332:T335)</f>
        <v>143.26</v>
      </c>
      <c r="K336" s="21"/>
    </row>
    <row r="337" spans="1:22" ht="14.25" x14ac:dyDescent="0.2">
      <c r="A337" s="18"/>
      <c r="B337" s="18"/>
      <c r="C337" s="18" t="s">
        <v>469</v>
      </c>
      <c r="D337" s="19" t="s">
        <v>470</v>
      </c>
      <c r="E337" s="9">
        <f>Source!AQ276</f>
        <v>0.57999999999999996</v>
      </c>
      <c r="F337" s="21"/>
      <c r="G337" s="20" t="str">
        <f>Source!DI276</f>
        <v/>
      </c>
      <c r="H337" s="9">
        <f>Source!AV276</f>
        <v>1</v>
      </c>
      <c r="I337" s="9"/>
      <c r="J337" s="21"/>
      <c r="K337" s="21">
        <f>Source!U276</f>
        <v>2.3199999999999998</v>
      </c>
    </row>
    <row r="338" spans="1:22" ht="15" x14ac:dyDescent="0.25">
      <c r="A338" s="26"/>
      <c r="B338" s="26"/>
      <c r="C338" s="26"/>
      <c r="D338" s="26"/>
      <c r="E338" s="26"/>
      <c r="F338" s="26"/>
      <c r="G338" s="26"/>
      <c r="H338" s="26"/>
      <c r="I338" s="53">
        <f>J333+J334+J335+J336</f>
        <v>2581.13</v>
      </c>
      <c r="J338" s="53"/>
      <c r="K338" s="27">
        <f>IF(Source!I276&lt;&gt;0, ROUND(I338/Source!I276, 2), 0)</f>
        <v>645.28</v>
      </c>
      <c r="P338" s="24">
        <f>I338</f>
        <v>2581.13</v>
      </c>
    </row>
    <row r="339" spans="1:22" ht="57" x14ac:dyDescent="0.2">
      <c r="A339" s="18">
        <v>33</v>
      </c>
      <c r="B339" s="18" t="str">
        <f>Source!F277</f>
        <v>1.23-2103-41-1/1</v>
      </c>
      <c r="C339" s="18" t="str">
        <f>Source!G277</f>
        <v>Техническое обслуживание регулирующего клапана / Кран шаровой ПВХ 1/2 для подключения гибкой подводки</v>
      </c>
      <c r="D339" s="19" t="str">
        <f>Source!H277</f>
        <v>шт.</v>
      </c>
      <c r="E339" s="9">
        <f>Source!I277</f>
        <v>24</v>
      </c>
      <c r="F339" s="21"/>
      <c r="G339" s="20"/>
      <c r="H339" s="9"/>
      <c r="I339" s="9"/>
      <c r="J339" s="21"/>
      <c r="K339" s="21"/>
      <c r="Q339">
        <f>ROUND((Source!BZ277/100)*ROUND((Source!AF277*Source!AV277)*Source!I277, 2), 2)</f>
        <v>3494.4</v>
      </c>
      <c r="R339">
        <f>Source!X277</f>
        <v>3494.4</v>
      </c>
      <c r="S339">
        <f>ROUND((Source!CA277/100)*ROUND((Source!AF277*Source!AV277)*Source!I277, 2), 2)</f>
        <v>499.2</v>
      </c>
      <c r="T339">
        <f>Source!Y277</f>
        <v>499.2</v>
      </c>
      <c r="U339">
        <f>ROUND((175/100)*ROUND((Source!AE277*Source!AV277)*Source!I277, 2), 2)</f>
        <v>2081.94</v>
      </c>
      <c r="V339">
        <f>ROUND((108/100)*ROUND(Source!CS277*Source!I277, 2), 2)</f>
        <v>1284.8499999999999</v>
      </c>
    </row>
    <row r="340" spans="1:22" x14ac:dyDescent="0.2">
      <c r="C340" s="22" t="str">
        <f>"Объем: "&amp;Source!I277&amp;"=6*"&amp;"4"</f>
        <v>Объем: 24=6*4</v>
      </c>
    </row>
    <row r="341" spans="1:22" ht="14.25" x14ac:dyDescent="0.2">
      <c r="A341" s="18"/>
      <c r="B341" s="18"/>
      <c r="C341" s="18" t="s">
        <v>461</v>
      </c>
      <c r="D341" s="19"/>
      <c r="E341" s="9"/>
      <c r="F341" s="21">
        <f>Source!AO277</f>
        <v>208</v>
      </c>
      <c r="G341" s="20" t="str">
        <f>Source!DG277</f>
        <v/>
      </c>
      <c r="H341" s="9">
        <f>Source!AV277</f>
        <v>1</v>
      </c>
      <c r="I341" s="9">
        <f>IF(Source!BA277&lt;&gt; 0, Source!BA277, 1)</f>
        <v>1</v>
      </c>
      <c r="J341" s="21">
        <f>Source!S277</f>
        <v>4992</v>
      </c>
      <c r="K341" s="21"/>
    </row>
    <row r="342" spans="1:22" ht="14.25" x14ac:dyDescent="0.2">
      <c r="A342" s="18"/>
      <c r="B342" s="18"/>
      <c r="C342" s="18" t="s">
        <v>462</v>
      </c>
      <c r="D342" s="19"/>
      <c r="E342" s="9"/>
      <c r="F342" s="21">
        <f>Source!AM277</f>
        <v>78.180000000000007</v>
      </c>
      <c r="G342" s="20" t="str">
        <f>Source!DE277</f>
        <v/>
      </c>
      <c r="H342" s="9">
        <f>Source!AV277</f>
        <v>1</v>
      </c>
      <c r="I342" s="9">
        <f>IF(Source!BB277&lt;&gt; 0, Source!BB277, 1)</f>
        <v>1</v>
      </c>
      <c r="J342" s="21">
        <f>Source!Q277</f>
        <v>1876.32</v>
      </c>
      <c r="K342" s="21"/>
    </row>
    <row r="343" spans="1:22" ht="14.25" x14ac:dyDescent="0.2">
      <c r="A343" s="18"/>
      <c r="B343" s="18"/>
      <c r="C343" s="18" t="s">
        <v>463</v>
      </c>
      <c r="D343" s="19"/>
      <c r="E343" s="9"/>
      <c r="F343" s="21">
        <f>Source!AN277</f>
        <v>49.57</v>
      </c>
      <c r="G343" s="20" t="str">
        <f>Source!DF277</f>
        <v/>
      </c>
      <c r="H343" s="9">
        <f>Source!AV277</f>
        <v>1</v>
      </c>
      <c r="I343" s="9">
        <f>IF(Source!BS277&lt;&gt; 0, Source!BS277, 1)</f>
        <v>1</v>
      </c>
      <c r="J343" s="23">
        <f>Source!R277</f>
        <v>1189.68</v>
      </c>
      <c r="K343" s="21"/>
    </row>
    <row r="344" spans="1:22" ht="14.25" x14ac:dyDescent="0.2">
      <c r="A344" s="18"/>
      <c r="B344" s="18"/>
      <c r="C344" s="18" t="s">
        <v>465</v>
      </c>
      <c r="D344" s="19" t="s">
        <v>466</v>
      </c>
      <c r="E344" s="9">
        <f>Source!AT277</f>
        <v>70</v>
      </c>
      <c r="F344" s="21"/>
      <c r="G344" s="20"/>
      <c r="H344" s="9"/>
      <c r="I344" s="9"/>
      <c r="J344" s="21">
        <f>SUM(R339:R343)</f>
        <v>3494.4</v>
      </c>
      <c r="K344" s="21"/>
    </row>
    <row r="345" spans="1:22" ht="14.25" x14ac:dyDescent="0.2">
      <c r="A345" s="18"/>
      <c r="B345" s="18"/>
      <c r="C345" s="18" t="s">
        <v>467</v>
      </c>
      <c r="D345" s="19" t="s">
        <v>466</v>
      </c>
      <c r="E345" s="9">
        <f>Source!AU277</f>
        <v>10</v>
      </c>
      <c r="F345" s="21"/>
      <c r="G345" s="20"/>
      <c r="H345" s="9"/>
      <c r="I345" s="9"/>
      <c r="J345" s="21">
        <f>SUM(T339:T344)</f>
        <v>499.2</v>
      </c>
      <c r="K345" s="21"/>
    </row>
    <row r="346" spans="1:22" ht="14.25" x14ac:dyDescent="0.2">
      <c r="A346" s="18"/>
      <c r="B346" s="18"/>
      <c r="C346" s="18" t="s">
        <v>468</v>
      </c>
      <c r="D346" s="19" t="s">
        <v>466</v>
      </c>
      <c r="E346" s="9">
        <f>108</f>
        <v>108</v>
      </c>
      <c r="F346" s="21"/>
      <c r="G346" s="20"/>
      <c r="H346" s="9"/>
      <c r="I346" s="9"/>
      <c r="J346" s="21">
        <f>SUM(V339:V345)</f>
        <v>1284.8499999999999</v>
      </c>
      <c r="K346" s="21"/>
    </row>
    <row r="347" spans="1:22" ht="14.25" x14ac:dyDescent="0.2">
      <c r="A347" s="18"/>
      <c r="B347" s="18"/>
      <c r="C347" s="18" t="s">
        <v>469</v>
      </c>
      <c r="D347" s="19" t="s">
        <v>470</v>
      </c>
      <c r="E347" s="9">
        <f>Source!AQ277</f>
        <v>0.37</v>
      </c>
      <c r="F347" s="21"/>
      <c r="G347" s="20" t="str">
        <f>Source!DI277</f>
        <v/>
      </c>
      <c r="H347" s="9">
        <f>Source!AV277</f>
        <v>1</v>
      </c>
      <c r="I347" s="9"/>
      <c r="J347" s="21"/>
      <c r="K347" s="21">
        <f>Source!U277</f>
        <v>8.879999999999999</v>
      </c>
    </row>
    <row r="348" spans="1:22" ht="15" x14ac:dyDescent="0.25">
      <c r="A348" s="26"/>
      <c r="B348" s="26"/>
      <c r="C348" s="26"/>
      <c r="D348" s="26"/>
      <c r="E348" s="26"/>
      <c r="F348" s="26"/>
      <c r="G348" s="26"/>
      <c r="H348" s="26"/>
      <c r="I348" s="53">
        <f>J341+J342+J344+J345+J346</f>
        <v>12146.77</v>
      </c>
      <c r="J348" s="53"/>
      <c r="K348" s="27">
        <f>IF(Source!I277&lt;&gt;0, ROUND(I348/Source!I277, 2), 0)</f>
        <v>506.12</v>
      </c>
      <c r="P348" s="24">
        <f>I348</f>
        <v>12146.77</v>
      </c>
    </row>
    <row r="350" spans="1:22" ht="15" x14ac:dyDescent="0.25">
      <c r="A350" s="57" t="str">
        <f>CONCATENATE("Итого по подразделу: ",IF(Source!G279&lt;&gt;"Новый подраздел", Source!G279, ""))</f>
        <v>Итого по подразделу: Техническое помещение общее на модуль</v>
      </c>
      <c r="B350" s="57"/>
      <c r="C350" s="57"/>
      <c r="D350" s="57"/>
      <c r="E350" s="57"/>
      <c r="F350" s="57"/>
      <c r="G350" s="57"/>
      <c r="H350" s="57"/>
      <c r="I350" s="55">
        <f>SUM(P309:P349)</f>
        <v>84299.17</v>
      </c>
      <c r="J350" s="56"/>
      <c r="K350" s="28"/>
    </row>
    <row r="353" spans="1:22" ht="16.5" x14ac:dyDescent="0.25">
      <c r="A353" s="54" t="str">
        <f>CONCATENATE("Подраздел: ",IF(Source!G309&lt;&gt;"Новый подраздел", Source!G309, ""))</f>
        <v>Подраздел: Электрооборудование</v>
      </c>
      <c r="B353" s="54"/>
      <c r="C353" s="54"/>
      <c r="D353" s="54"/>
      <c r="E353" s="54"/>
      <c r="F353" s="54"/>
      <c r="G353" s="54"/>
      <c r="H353" s="54"/>
      <c r="I353" s="54"/>
      <c r="J353" s="54"/>
      <c r="K353" s="54"/>
    </row>
    <row r="354" spans="1:22" ht="71.25" x14ac:dyDescent="0.2">
      <c r="A354" s="18">
        <v>34</v>
      </c>
      <c r="B354" s="18" t="str">
        <f>Source!F313</f>
        <v>1.21-2203-2-5/1</v>
      </c>
      <c r="C354" s="18" t="str">
        <f>Source!G313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D354" s="19" t="str">
        <f>Source!H313</f>
        <v>шт.</v>
      </c>
      <c r="E354" s="9">
        <f>Source!I313</f>
        <v>4</v>
      </c>
      <c r="F354" s="21"/>
      <c r="G354" s="20"/>
      <c r="H354" s="9"/>
      <c r="I354" s="9"/>
      <c r="J354" s="21"/>
      <c r="K354" s="21"/>
      <c r="Q354">
        <f>ROUND((Source!BZ313/100)*ROUND((Source!AF313*Source!AV313)*Source!I313, 2), 2)</f>
        <v>41495.33</v>
      </c>
      <c r="R354">
        <f>Source!X313</f>
        <v>41495.33</v>
      </c>
      <c r="S354">
        <f>ROUND((Source!CA313/100)*ROUND((Source!AF313*Source!AV313)*Source!I313, 2), 2)</f>
        <v>5927.9</v>
      </c>
      <c r="T354">
        <f>Source!Y313</f>
        <v>5927.9</v>
      </c>
      <c r="U354">
        <f>ROUND((175/100)*ROUND((Source!AE313*Source!AV313)*Source!I313, 2), 2)</f>
        <v>0</v>
      </c>
      <c r="V354">
        <f>ROUND((108/100)*ROUND(Source!CS313*Source!I313, 2), 2)</f>
        <v>0</v>
      </c>
    </row>
    <row r="355" spans="1:22" ht="14.25" x14ac:dyDescent="0.2">
      <c r="A355" s="18"/>
      <c r="B355" s="18"/>
      <c r="C355" s="18" t="s">
        <v>461</v>
      </c>
      <c r="D355" s="19"/>
      <c r="E355" s="9"/>
      <c r="F355" s="21">
        <f>Source!AO313</f>
        <v>14819.76</v>
      </c>
      <c r="G355" s="20" t="str">
        <f>Source!DG313</f>
        <v/>
      </c>
      <c r="H355" s="9">
        <f>Source!AV313</f>
        <v>1</v>
      </c>
      <c r="I355" s="9">
        <f>IF(Source!BA313&lt;&gt; 0, Source!BA313, 1)</f>
        <v>1</v>
      </c>
      <c r="J355" s="21">
        <f>Source!S313</f>
        <v>59279.040000000001</v>
      </c>
      <c r="K355" s="21"/>
    </row>
    <row r="356" spans="1:22" ht="14.25" x14ac:dyDescent="0.2">
      <c r="A356" s="18"/>
      <c r="B356" s="18"/>
      <c r="C356" s="18" t="s">
        <v>464</v>
      </c>
      <c r="D356" s="19"/>
      <c r="E356" s="9"/>
      <c r="F356" s="21">
        <f>Source!AL313</f>
        <v>205.53</v>
      </c>
      <c r="G356" s="20" t="str">
        <f>Source!DD313</f>
        <v/>
      </c>
      <c r="H356" s="9">
        <f>Source!AW313</f>
        <v>1</v>
      </c>
      <c r="I356" s="9">
        <f>IF(Source!BC313&lt;&gt; 0, Source!BC313, 1)</f>
        <v>1</v>
      </c>
      <c r="J356" s="21">
        <f>Source!P313</f>
        <v>822.12</v>
      </c>
      <c r="K356" s="21"/>
    </row>
    <row r="357" spans="1:22" ht="14.25" x14ac:dyDescent="0.2">
      <c r="A357" s="18"/>
      <c r="B357" s="18"/>
      <c r="C357" s="18" t="s">
        <v>465</v>
      </c>
      <c r="D357" s="19" t="s">
        <v>466</v>
      </c>
      <c r="E357" s="9">
        <f>Source!AT313</f>
        <v>70</v>
      </c>
      <c r="F357" s="21"/>
      <c r="G357" s="20"/>
      <c r="H357" s="9"/>
      <c r="I357" s="9"/>
      <c r="J357" s="21">
        <f>SUM(R354:R356)</f>
        <v>41495.33</v>
      </c>
      <c r="K357" s="21"/>
    </row>
    <row r="358" spans="1:22" ht="14.25" x14ac:dyDescent="0.2">
      <c r="A358" s="18"/>
      <c r="B358" s="18"/>
      <c r="C358" s="18" t="s">
        <v>467</v>
      </c>
      <c r="D358" s="19" t="s">
        <v>466</v>
      </c>
      <c r="E358" s="9">
        <f>Source!AU313</f>
        <v>10</v>
      </c>
      <c r="F358" s="21"/>
      <c r="G358" s="20"/>
      <c r="H358" s="9"/>
      <c r="I358" s="9"/>
      <c r="J358" s="21">
        <f>SUM(T354:T357)</f>
        <v>5927.9</v>
      </c>
      <c r="K358" s="21"/>
    </row>
    <row r="359" spans="1:22" ht="14.25" x14ac:dyDescent="0.2">
      <c r="A359" s="18"/>
      <c r="B359" s="18"/>
      <c r="C359" s="18" t="s">
        <v>469</v>
      </c>
      <c r="D359" s="19" t="s">
        <v>470</v>
      </c>
      <c r="E359" s="9">
        <f>Source!AQ313</f>
        <v>24</v>
      </c>
      <c r="F359" s="21"/>
      <c r="G359" s="20" t="str">
        <f>Source!DI313</f>
        <v/>
      </c>
      <c r="H359" s="9">
        <f>Source!AV313</f>
        <v>1</v>
      </c>
      <c r="I359" s="9"/>
      <c r="J359" s="21"/>
      <c r="K359" s="21">
        <f>Source!U313</f>
        <v>96</v>
      </c>
    </row>
    <row r="360" spans="1:22" ht="15" x14ac:dyDescent="0.25">
      <c r="A360" s="26"/>
      <c r="B360" s="26"/>
      <c r="C360" s="26"/>
      <c r="D360" s="26"/>
      <c r="E360" s="26"/>
      <c r="F360" s="26"/>
      <c r="G360" s="26"/>
      <c r="H360" s="26"/>
      <c r="I360" s="53">
        <f>J355+J356+J357+J358</f>
        <v>107524.39</v>
      </c>
      <c r="J360" s="53"/>
      <c r="K360" s="27">
        <f>IF(Source!I313&lt;&gt;0, ROUND(I360/Source!I313, 2), 0)</f>
        <v>26881.1</v>
      </c>
      <c r="P360" s="24">
        <f>I360</f>
        <v>107524.39</v>
      </c>
    </row>
    <row r="361" spans="1:22" ht="57" x14ac:dyDescent="0.2">
      <c r="A361" s="18">
        <v>35</v>
      </c>
      <c r="B361" s="18" t="str">
        <f>Source!F316</f>
        <v>1.21-2303-50-1/1</v>
      </c>
      <c r="C361" s="18" t="str">
        <f>Source!G316</f>
        <v>Техническое обслуживание  конвектора электрического настенного крепления, с механическим термостатом, мощность до 2,0 кВт</v>
      </c>
      <c r="D361" s="19" t="str">
        <f>Source!H316</f>
        <v>шт.</v>
      </c>
      <c r="E361" s="9">
        <f>Source!I316</f>
        <v>4</v>
      </c>
      <c r="F361" s="21"/>
      <c r="G361" s="20"/>
      <c r="H361" s="9"/>
      <c r="I361" s="9"/>
      <c r="J361" s="21"/>
      <c r="K361" s="21"/>
      <c r="Q361">
        <f>ROUND((Source!BZ316/100)*ROUND((Source!AF316*Source!AV316)*Source!I316, 2), 2)</f>
        <v>242.06</v>
      </c>
      <c r="R361">
        <f>Source!X316</f>
        <v>242.06</v>
      </c>
      <c r="S361">
        <f>ROUND((Source!CA316/100)*ROUND((Source!AF316*Source!AV316)*Source!I316, 2), 2)</f>
        <v>34.58</v>
      </c>
      <c r="T361">
        <f>Source!Y316</f>
        <v>34.58</v>
      </c>
      <c r="U361">
        <f>ROUND((175/100)*ROUND((Source!AE316*Source!AV316)*Source!I316, 2), 2)</f>
        <v>0</v>
      </c>
      <c r="V361">
        <f>ROUND((108/100)*ROUND(Source!CS316*Source!I316, 2), 2)</f>
        <v>0</v>
      </c>
    </row>
    <row r="362" spans="1:22" x14ac:dyDescent="0.2">
      <c r="C362" s="22" t="str">
        <f>"Объем: "&amp;Source!I316&amp;"=1*"&amp;"4"</f>
        <v>Объем: 4=1*4</v>
      </c>
    </row>
    <row r="363" spans="1:22" ht="14.25" x14ac:dyDescent="0.2">
      <c r="A363" s="18"/>
      <c r="B363" s="18"/>
      <c r="C363" s="18" t="s">
        <v>461</v>
      </c>
      <c r="D363" s="19"/>
      <c r="E363" s="9"/>
      <c r="F363" s="21">
        <f>Source!AO316</f>
        <v>86.45</v>
      </c>
      <c r="G363" s="20" t="str">
        <f>Source!DG316</f>
        <v/>
      </c>
      <c r="H363" s="9">
        <f>Source!AV316</f>
        <v>1</v>
      </c>
      <c r="I363" s="9">
        <f>IF(Source!BA316&lt;&gt; 0, Source!BA316, 1)</f>
        <v>1</v>
      </c>
      <c r="J363" s="21">
        <f>Source!S316</f>
        <v>345.8</v>
      </c>
      <c r="K363" s="21"/>
    </row>
    <row r="364" spans="1:22" ht="14.25" x14ac:dyDescent="0.2">
      <c r="A364" s="18"/>
      <c r="B364" s="18"/>
      <c r="C364" s="18" t="s">
        <v>462</v>
      </c>
      <c r="D364" s="19"/>
      <c r="E364" s="9"/>
      <c r="F364" s="21">
        <f>Source!AM316</f>
        <v>0.23</v>
      </c>
      <c r="G364" s="20" t="str">
        <f>Source!DE316</f>
        <v/>
      </c>
      <c r="H364" s="9">
        <f>Source!AV316</f>
        <v>1</v>
      </c>
      <c r="I364" s="9">
        <f>IF(Source!BB316&lt;&gt; 0, Source!BB316, 1)</f>
        <v>1</v>
      </c>
      <c r="J364" s="21">
        <f>Source!Q316</f>
        <v>0.92</v>
      </c>
      <c r="K364" s="21"/>
    </row>
    <row r="365" spans="1:22" ht="14.25" x14ac:dyDescent="0.2">
      <c r="A365" s="18"/>
      <c r="B365" s="18"/>
      <c r="C365" s="18" t="s">
        <v>464</v>
      </c>
      <c r="D365" s="19"/>
      <c r="E365" s="9"/>
      <c r="F365" s="21">
        <f>Source!AL316</f>
        <v>2.2000000000000002</v>
      </c>
      <c r="G365" s="20" t="str">
        <f>Source!DD316</f>
        <v/>
      </c>
      <c r="H365" s="9">
        <f>Source!AW316</f>
        <v>1</v>
      </c>
      <c r="I365" s="9">
        <f>IF(Source!BC316&lt;&gt; 0, Source!BC316, 1)</f>
        <v>1</v>
      </c>
      <c r="J365" s="21">
        <f>Source!P316</f>
        <v>8.8000000000000007</v>
      </c>
      <c r="K365" s="21"/>
    </row>
    <row r="366" spans="1:22" ht="14.25" x14ac:dyDescent="0.2">
      <c r="A366" s="18"/>
      <c r="B366" s="18"/>
      <c r="C366" s="18" t="s">
        <v>465</v>
      </c>
      <c r="D366" s="19" t="s">
        <v>466</v>
      </c>
      <c r="E366" s="9">
        <f>Source!AT316</f>
        <v>70</v>
      </c>
      <c r="F366" s="21"/>
      <c r="G366" s="20"/>
      <c r="H366" s="9"/>
      <c r="I366" s="9"/>
      <c r="J366" s="21">
        <f>SUM(R361:R365)</f>
        <v>242.06</v>
      </c>
      <c r="K366" s="21"/>
    </row>
    <row r="367" spans="1:22" ht="14.25" x14ac:dyDescent="0.2">
      <c r="A367" s="18"/>
      <c r="B367" s="18"/>
      <c r="C367" s="18" t="s">
        <v>467</v>
      </c>
      <c r="D367" s="19" t="s">
        <v>466</v>
      </c>
      <c r="E367" s="9">
        <f>Source!AU316</f>
        <v>10</v>
      </c>
      <c r="F367" s="21"/>
      <c r="G367" s="20"/>
      <c r="H367" s="9"/>
      <c r="I367" s="9"/>
      <c r="J367" s="21">
        <f>SUM(T361:T366)</f>
        <v>34.58</v>
      </c>
      <c r="K367" s="21"/>
    </row>
    <row r="368" spans="1:22" ht="14.25" x14ac:dyDescent="0.2">
      <c r="A368" s="18"/>
      <c r="B368" s="18"/>
      <c r="C368" s="18" t="s">
        <v>469</v>
      </c>
      <c r="D368" s="19" t="s">
        <v>470</v>
      </c>
      <c r="E368" s="9">
        <f>Source!AQ316</f>
        <v>0.14000000000000001</v>
      </c>
      <c r="F368" s="21"/>
      <c r="G368" s="20" t="str">
        <f>Source!DI316</f>
        <v/>
      </c>
      <c r="H368" s="9">
        <f>Source!AV316</f>
        <v>1</v>
      </c>
      <c r="I368" s="9"/>
      <c r="J368" s="21"/>
      <c r="K368" s="21">
        <f>Source!U316</f>
        <v>0.56000000000000005</v>
      </c>
    </row>
    <row r="369" spans="1:22" ht="15" x14ac:dyDescent="0.25">
      <c r="A369" s="26"/>
      <c r="B369" s="26"/>
      <c r="C369" s="26"/>
      <c r="D369" s="26"/>
      <c r="E369" s="26"/>
      <c r="F369" s="26"/>
      <c r="G369" s="26"/>
      <c r="H369" s="26"/>
      <c r="I369" s="53">
        <f>J363+J364+J365+J366+J367</f>
        <v>632.16000000000008</v>
      </c>
      <c r="J369" s="53"/>
      <c r="K369" s="27">
        <f>IF(Source!I316&lt;&gt;0, ROUND(I369/Source!I316, 2), 0)</f>
        <v>158.04</v>
      </c>
      <c r="P369" s="24">
        <f>I369</f>
        <v>632.16000000000008</v>
      </c>
    </row>
    <row r="370" spans="1:22" ht="57" x14ac:dyDescent="0.2">
      <c r="A370" s="18">
        <v>36</v>
      </c>
      <c r="B370" s="18" t="str">
        <f>Source!F318</f>
        <v>1.17-2103-15-3/1</v>
      </c>
      <c r="C370" s="18" t="str">
        <f>Source!G318</f>
        <v>Техническое обслуживание конвекторов, встраиваемых в пол, длиной короба 1100 мм, шириной короба до 260 мм</v>
      </c>
      <c r="D370" s="19" t="str">
        <f>Source!H318</f>
        <v>10 шт.</v>
      </c>
      <c r="E370" s="9">
        <f>Source!I318</f>
        <v>0.8</v>
      </c>
      <c r="F370" s="21"/>
      <c r="G370" s="20"/>
      <c r="H370" s="9"/>
      <c r="I370" s="9"/>
      <c r="J370" s="21"/>
      <c r="K370" s="21"/>
      <c r="Q370">
        <f>ROUND((Source!BZ318/100)*ROUND((Source!AF318*Source!AV318)*Source!I318, 2), 2)</f>
        <v>585.46</v>
      </c>
      <c r="R370">
        <f>Source!X318</f>
        <v>585.46</v>
      </c>
      <c r="S370">
        <f>ROUND((Source!CA318/100)*ROUND((Source!AF318*Source!AV318)*Source!I318, 2), 2)</f>
        <v>83.64</v>
      </c>
      <c r="T370">
        <f>Source!Y318</f>
        <v>83.64</v>
      </c>
      <c r="U370">
        <f>ROUND((175/100)*ROUND((Source!AE318*Source!AV318)*Source!I318, 2), 2)</f>
        <v>0.09</v>
      </c>
      <c r="V370">
        <f>ROUND((108/100)*ROUND(Source!CS318*Source!I318, 2), 2)</f>
        <v>0.05</v>
      </c>
    </row>
    <row r="371" spans="1:22" x14ac:dyDescent="0.2">
      <c r="C371" s="22" t="str">
        <f>"Объем: "&amp;Source!I318&amp;"=2*"&amp;"4/"&amp;"10"</f>
        <v>Объем: 0,8=2*4/10</v>
      </c>
    </row>
    <row r="372" spans="1:22" ht="14.25" x14ac:dyDescent="0.2">
      <c r="A372" s="18"/>
      <c r="B372" s="18"/>
      <c r="C372" s="18" t="s">
        <v>461</v>
      </c>
      <c r="D372" s="19"/>
      <c r="E372" s="9"/>
      <c r="F372" s="21">
        <f>Source!AO318</f>
        <v>1045.46</v>
      </c>
      <c r="G372" s="20" t="str">
        <f>Source!DG318</f>
        <v/>
      </c>
      <c r="H372" s="9">
        <f>Source!AV318</f>
        <v>1</v>
      </c>
      <c r="I372" s="9">
        <f>IF(Source!BA318&lt;&gt; 0, Source!BA318, 1)</f>
        <v>1</v>
      </c>
      <c r="J372" s="21">
        <f>Source!S318</f>
        <v>836.37</v>
      </c>
      <c r="K372" s="21"/>
    </row>
    <row r="373" spans="1:22" ht="14.25" x14ac:dyDescent="0.2">
      <c r="A373" s="18"/>
      <c r="B373" s="18"/>
      <c r="C373" s="18" t="s">
        <v>462</v>
      </c>
      <c r="D373" s="19"/>
      <c r="E373" s="9"/>
      <c r="F373" s="21">
        <f>Source!AM318</f>
        <v>4.09</v>
      </c>
      <c r="G373" s="20" t="str">
        <f>Source!DE318</f>
        <v/>
      </c>
      <c r="H373" s="9">
        <f>Source!AV318</f>
        <v>1</v>
      </c>
      <c r="I373" s="9">
        <f>IF(Source!BB318&lt;&gt; 0, Source!BB318, 1)</f>
        <v>1</v>
      </c>
      <c r="J373" s="21">
        <f>Source!Q318</f>
        <v>3.27</v>
      </c>
      <c r="K373" s="21"/>
    </row>
    <row r="374" spans="1:22" ht="14.25" x14ac:dyDescent="0.2">
      <c r="A374" s="18"/>
      <c r="B374" s="18"/>
      <c r="C374" s="18" t="s">
        <v>463</v>
      </c>
      <c r="D374" s="19"/>
      <c r="E374" s="9"/>
      <c r="F374" s="21">
        <f>Source!AN318</f>
        <v>0.06</v>
      </c>
      <c r="G374" s="20" t="str">
        <f>Source!DF318</f>
        <v/>
      </c>
      <c r="H374" s="9">
        <f>Source!AV318</f>
        <v>1</v>
      </c>
      <c r="I374" s="9">
        <f>IF(Source!BS318&lt;&gt; 0, Source!BS318, 1)</f>
        <v>1</v>
      </c>
      <c r="J374" s="23">
        <f>Source!R318</f>
        <v>0.05</v>
      </c>
      <c r="K374" s="21"/>
    </row>
    <row r="375" spans="1:22" ht="14.25" x14ac:dyDescent="0.2">
      <c r="A375" s="18"/>
      <c r="B375" s="18"/>
      <c r="C375" s="18" t="s">
        <v>464</v>
      </c>
      <c r="D375" s="19"/>
      <c r="E375" s="9"/>
      <c r="F375" s="21">
        <f>Source!AL318</f>
        <v>1.67</v>
      </c>
      <c r="G375" s="20" t="str">
        <f>Source!DD318</f>
        <v/>
      </c>
      <c r="H375" s="9">
        <f>Source!AW318</f>
        <v>1</v>
      </c>
      <c r="I375" s="9">
        <f>IF(Source!BC318&lt;&gt; 0, Source!BC318, 1)</f>
        <v>1</v>
      </c>
      <c r="J375" s="21">
        <f>Source!P318</f>
        <v>1.34</v>
      </c>
      <c r="K375" s="21"/>
    </row>
    <row r="376" spans="1:22" ht="14.25" x14ac:dyDescent="0.2">
      <c r="A376" s="18"/>
      <c r="B376" s="18"/>
      <c r="C376" s="18" t="s">
        <v>465</v>
      </c>
      <c r="D376" s="19" t="s">
        <v>466</v>
      </c>
      <c r="E376" s="9">
        <f>Source!AT318</f>
        <v>70</v>
      </c>
      <c r="F376" s="21"/>
      <c r="G376" s="20"/>
      <c r="H376" s="9"/>
      <c r="I376" s="9"/>
      <c r="J376" s="21">
        <f>SUM(R370:R375)</f>
        <v>585.46</v>
      </c>
      <c r="K376" s="21"/>
    </row>
    <row r="377" spans="1:22" ht="14.25" x14ac:dyDescent="0.2">
      <c r="A377" s="18"/>
      <c r="B377" s="18"/>
      <c r="C377" s="18" t="s">
        <v>467</v>
      </c>
      <c r="D377" s="19" t="s">
        <v>466</v>
      </c>
      <c r="E377" s="9">
        <f>Source!AU318</f>
        <v>10</v>
      </c>
      <c r="F377" s="21"/>
      <c r="G377" s="20"/>
      <c r="H377" s="9"/>
      <c r="I377" s="9"/>
      <c r="J377" s="21">
        <f>SUM(T370:T376)</f>
        <v>83.64</v>
      </c>
      <c r="K377" s="21"/>
    </row>
    <row r="378" spans="1:22" ht="14.25" x14ac:dyDescent="0.2">
      <c r="A378" s="18"/>
      <c r="B378" s="18"/>
      <c r="C378" s="18" t="s">
        <v>468</v>
      </c>
      <c r="D378" s="19" t="s">
        <v>466</v>
      </c>
      <c r="E378" s="9">
        <f>108</f>
        <v>108</v>
      </c>
      <c r="F378" s="21"/>
      <c r="G378" s="20"/>
      <c r="H378" s="9"/>
      <c r="I378" s="9"/>
      <c r="J378" s="21">
        <f>SUM(V370:V377)</f>
        <v>0.05</v>
      </c>
      <c r="K378" s="21"/>
    </row>
    <row r="379" spans="1:22" ht="14.25" x14ac:dyDescent="0.2">
      <c r="A379" s="18"/>
      <c r="B379" s="18"/>
      <c r="C379" s="18" t="s">
        <v>469</v>
      </c>
      <c r="D379" s="19" t="s">
        <v>470</v>
      </c>
      <c r="E379" s="9">
        <f>Source!AQ318</f>
        <v>1.84</v>
      </c>
      <c r="F379" s="21"/>
      <c r="G379" s="20" t="str">
        <f>Source!DI318</f>
        <v/>
      </c>
      <c r="H379" s="9">
        <f>Source!AV318</f>
        <v>1</v>
      </c>
      <c r="I379" s="9"/>
      <c r="J379" s="21"/>
      <c r="K379" s="21">
        <f>Source!U318</f>
        <v>1.4720000000000002</v>
      </c>
    </row>
    <row r="380" spans="1:22" ht="15" x14ac:dyDescent="0.25">
      <c r="A380" s="26"/>
      <c r="B380" s="26"/>
      <c r="C380" s="26"/>
      <c r="D380" s="26"/>
      <c r="E380" s="26"/>
      <c r="F380" s="26"/>
      <c r="G380" s="26"/>
      <c r="H380" s="26"/>
      <c r="I380" s="53">
        <f>J372+J373+J375+J376+J377+J378</f>
        <v>1510.13</v>
      </c>
      <c r="J380" s="53"/>
      <c r="K380" s="27">
        <f>IF(Source!I318&lt;&gt;0, ROUND(I380/Source!I318, 2), 0)</f>
        <v>1887.66</v>
      </c>
      <c r="P380" s="24">
        <f>I380</f>
        <v>1510.13</v>
      </c>
    </row>
    <row r="381" spans="1:22" ht="57" x14ac:dyDescent="0.2">
      <c r="A381" s="18">
        <v>37</v>
      </c>
      <c r="B381" s="18" t="str">
        <f>Source!F319</f>
        <v>1.17-2103-15-3/1</v>
      </c>
      <c r="C381" s="18" t="str">
        <f>Source!G319</f>
        <v>Техническое обслуживание конвекторов, встраиваемых в пол, длиной короба 1100 мм, шириной короба до 260 мм</v>
      </c>
      <c r="D381" s="19" t="str">
        <f>Source!H319</f>
        <v>10 шт.</v>
      </c>
      <c r="E381" s="9">
        <f>Source!I319</f>
        <v>0.8</v>
      </c>
      <c r="F381" s="21"/>
      <c r="G381" s="20"/>
      <c r="H381" s="9"/>
      <c r="I381" s="9"/>
      <c r="J381" s="21"/>
      <c r="K381" s="21"/>
      <c r="Q381">
        <f>ROUND((Source!BZ319/100)*ROUND((Source!AF319*Source!AV319)*Source!I319, 2), 2)</f>
        <v>585.46</v>
      </c>
      <c r="R381">
        <f>Source!X319</f>
        <v>585.46</v>
      </c>
      <c r="S381">
        <f>ROUND((Source!CA319/100)*ROUND((Source!AF319*Source!AV319)*Source!I319, 2), 2)</f>
        <v>83.64</v>
      </c>
      <c r="T381">
        <f>Source!Y319</f>
        <v>83.64</v>
      </c>
      <c r="U381">
        <f>ROUND((175/100)*ROUND((Source!AE319*Source!AV319)*Source!I319, 2), 2)</f>
        <v>0.09</v>
      </c>
      <c r="V381">
        <f>ROUND((108/100)*ROUND(Source!CS319*Source!I319, 2), 2)</f>
        <v>0.05</v>
      </c>
    </row>
    <row r="382" spans="1:22" x14ac:dyDescent="0.2">
      <c r="C382" s="22" t="str">
        <f>"Объем: "&amp;Source!I319&amp;"=2*"&amp;"4/"&amp;"10"</f>
        <v>Объем: 0,8=2*4/10</v>
      </c>
    </row>
    <row r="383" spans="1:22" ht="14.25" x14ac:dyDescent="0.2">
      <c r="A383" s="18"/>
      <c r="B383" s="18"/>
      <c r="C383" s="18" t="s">
        <v>461</v>
      </c>
      <c r="D383" s="19"/>
      <c r="E383" s="9"/>
      <c r="F383" s="21">
        <f>Source!AO319</f>
        <v>1045.46</v>
      </c>
      <c r="G383" s="20" t="str">
        <f>Source!DG319</f>
        <v/>
      </c>
      <c r="H383" s="9">
        <f>Source!AV319</f>
        <v>1</v>
      </c>
      <c r="I383" s="9">
        <f>IF(Source!BA319&lt;&gt; 0, Source!BA319, 1)</f>
        <v>1</v>
      </c>
      <c r="J383" s="21">
        <f>Source!S319</f>
        <v>836.37</v>
      </c>
      <c r="K383" s="21"/>
    </row>
    <row r="384" spans="1:22" ht="14.25" x14ac:dyDescent="0.2">
      <c r="A384" s="18"/>
      <c r="B384" s="18"/>
      <c r="C384" s="18" t="s">
        <v>462</v>
      </c>
      <c r="D384" s="19"/>
      <c r="E384" s="9"/>
      <c r="F384" s="21">
        <f>Source!AM319</f>
        <v>4.09</v>
      </c>
      <c r="G384" s="20" t="str">
        <f>Source!DE319</f>
        <v/>
      </c>
      <c r="H384" s="9">
        <f>Source!AV319</f>
        <v>1</v>
      </c>
      <c r="I384" s="9">
        <f>IF(Source!BB319&lt;&gt; 0, Source!BB319, 1)</f>
        <v>1</v>
      </c>
      <c r="J384" s="21">
        <f>Source!Q319</f>
        <v>3.27</v>
      </c>
      <c r="K384" s="21"/>
    </row>
    <row r="385" spans="1:22" ht="14.25" x14ac:dyDescent="0.2">
      <c r="A385" s="18"/>
      <c r="B385" s="18"/>
      <c r="C385" s="18" t="s">
        <v>463</v>
      </c>
      <c r="D385" s="19"/>
      <c r="E385" s="9"/>
      <c r="F385" s="21">
        <f>Source!AN319</f>
        <v>0.06</v>
      </c>
      <c r="G385" s="20" t="str">
        <f>Source!DF319</f>
        <v/>
      </c>
      <c r="H385" s="9">
        <f>Source!AV319</f>
        <v>1</v>
      </c>
      <c r="I385" s="9">
        <f>IF(Source!BS319&lt;&gt; 0, Source!BS319, 1)</f>
        <v>1</v>
      </c>
      <c r="J385" s="23">
        <f>Source!R319</f>
        <v>0.05</v>
      </c>
      <c r="K385" s="21"/>
    </row>
    <row r="386" spans="1:22" ht="14.25" x14ac:dyDescent="0.2">
      <c r="A386" s="18"/>
      <c r="B386" s="18"/>
      <c r="C386" s="18" t="s">
        <v>464</v>
      </c>
      <c r="D386" s="19"/>
      <c r="E386" s="9"/>
      <c r="F386" s="21">
        <f>Source!AL319</f>
        <v>1.67</v>
      </c>
      <c r="G386" s="20" t="str">
        <f>Source!DD319</f>
        <v/>
      </c>
      <c r="H386" s="9">
        <f>Source!AW319</f>
        <v>1</v>
      </c>
      <c r="I386" s="9">
        <f>IF(Source!BC319&lt;&gt; 0, Source!BC319, 1)</f>
        <v>1</v>
      </c>
      <c r="J386" s="21">
        <f>Source!P319</f>
        <v>1.34</v>
      </c>
      <c r="K386" s="21"/>
    </row>
    <row r="387" spans="1:22" ht="14.25" x14ac:dyDescent="0.2">
      <c r="A387" s="18"/>
      <c r="B387" s="18"/>
      <c r="C387" s="18" t="s">
        <v>465</v>
      </c>
      <c r="D387" s="19" t="s">
        <v>466</v>
      </c>
      <c r="E387" s="9">
        <f>Source!AT319</f>
        <v>70</v>
      </c>
      <c r="F387" s="21"/>
      <c r="G387" s="20"/>
      <c r="H387" s="9"/>
      <c r="I387" s="9"/>
      <c r="J387" s="21">
        <f>SUM(R381:R386)</f>
        <v>585.46</v>
      </c>
      <c r="K387" s="21"/>
    </row>
    <row r="388" spans="1:22" ht="14.25" x14ac:dyDescent="0.2">
      <c r="A388" s="18"/>
      <c r="B388" s="18"/>
      <c r="C388" s="18" t="s">
        <v>467</v>
      </c>
      <c r="D388" s="19" t="s">
        <v>466</v>
      </c>
      <c r="E388" s="9">
        <f>Source!AU319</f>
        <v>10</v>
      </c>
      <c r="F388" s="21"/>
      <c r="G388" s="20"/>
      <c r="H388" s="9"/>
      <c r="I388" s="9"/>
      <c r="J388" s="21">
        <f>SUM(T381:T387)</f>
        <v>83.64</v>
      </c>
      <c r="K388" s="21"/>
    </row>
    <row r="389" spans="1:22" ht="14.25" x14ac:dyDescent="0.2">
      <c r="A389" s="18"/>
      <c r="B389" s="18"/>
      <c r="C389" s="18" t="s">
        <v>468</v>
      </c>
      <c r="D389" s="19" t="s">
        <v>466</v>
      </c>
      <c r="E389" s="9">
        <f>108</f>
        <v>108</v>
      </c>
      <c r="F389" s="21"/>
      <c r="G389" s="20"/>
      <c r="H389" s="9"/>
      <c r="I389" s="9"/>
      <c r="J389" s="21">
        <f>SUM(V381:V388)</f>
        <v>0.05</v>
      </c>
      <c r="K389" s="21"/>
    </row>
    <row r="390" spans="1:22" ht="14.25" x14ac:dyDescent="0.2">
      <c r="A390" s="18"/>
      <c r="B390" s="18"/>
      <c r="C390" s="18" t="s">
        <v>469</v>
      </c>
      <c r="D390" s="19" t="s">
        <v>470</v>
      </c>
      <c r="E390" s="9">
        <f>Source!AQ319</f>
        <v>1.84</v>
      </c>
      <c r="F390" s="21"/>
      <c r="G390" s="20" t="str">
        <f>Source!DI319</f>
        <v/>
      </c>
      <c r="H390" s="9">
        <f>Source!AV319</f>
        <v>1</v>
      </c>
      <c r="I390" s="9"/>
      <c r="J390" s="21"/>
      <c r="K390" s="21">
        <f>Source!U319</f>
        <v>1.4720000000000002</v>
      </c>
    </row>
    <row r="391" spans="1:22" ht="15" x14ac:dyDescent="0.25">
      <c r="A391" s="26"/>
      <c r="B391" s="26"/>
      <c r="C391" s="26"/>
      <c r="D391" s="26"/>
      <c r="E391" s="26"/>
      <c r="F391" s="26"/>
      <c r="G391" s="26"/>
      <c r="H391" s="26"/>
      <c r="I391" s="53">
        <f>J383+J384+J386+J387+J388+J389</f>
        <v>1510.13</v>
      </c>
      <c r="J391" s="53"/>
      <c r="K391" s="27">
        <f>IF(Source!I319&lt;&gt;0, ROUND(I391/Source!I319, 2), 0)</f>
        <v>1887.66</v>
      </c>
      <c r="P391" s="24">
        <f>I391</f>
        <v>1510.13</v>
      </c>
    </row>
    <row r="392" spans="1:22" ht="165" x14ac:dyDescent="0.2">
      <c r="A392" s="18">
        <v>38</v>
      </c>
      <c r="B392" s="18" t="s">
        <v>473</v>
      </c>
      <c r="C392" s="18" t="s">
        <v>474</v>
      </c>
      <c r="D392" s="19" t="str">
        <f>Source!H324</f>
        <v>шт.</v>
      </c>
      <c r="E392" s="9">
        <f>Source!I324</f>
        <v>12</v>
      </c>
      <c r="F392" s="21"/>
      <c r="G392" s="20"/>
      <c r="H392" s="9"/>
      <c r="I392" s="9"/>
      <c r="J392" s="21"/>
      <c r="K392" s="21"/>
      <c r="Q392">
        <f>ROUND((Source!BZ324/100)*ROUND((Source!AF324*Source!AV324)*Source!I324, 2), 2)</f>
        <v>1473.33</v>
      </c>
      <c r="R392">
        <f>Source!X324</f>
        <v>1473.33</v>
      </c>
      <c r="S392">
        <f>ROUND((Source!CA324/100)*ROUND((Source!AF324*Source!AV324)*Source!I324, 2), 2)</f>
        <v>210.48</v>
      </c>
      <c r="T392">
        <f>Source!Y324</f>
        <v>210.48</v>
      </c>
      <c r="U392">
        <f>ROUND((175/100)*ROUND((Source!AE324*Source!AV324)*Source!I324, 2), 2)</f>
        <v>0</v>
      </c>
      <c r="V392">
        <f>ROUND((108/100)*ROUND(Source!CS324*Source!I324, 2), 2)</f>
        <v>0</v>
      </c>
    </row>
    <row r="393" spans="1:22" x14ac:dyDescent="0.2">
      <c r="C393" s="22" t="str">
        <f>"Объем: "&amp;Source!I324&amp;"=(3)*"&amp;"4"</f>
        <v>Объем: 12=(3)*4</v>
      </c>
    </row>
    <row r="394" spans="1:22" ht="14.25" x14ac:dyDescent="0.2">
      <c r="A394" s="18"/>
      <c r="B394" s="18"/>
      <c r="C394" s="18" t="s">
        <v>461</v>
      </c>
      <c r="D394" s="19"/>
      <c r="E394" s="9"/>
      <c r="F394" s="21">
        <f>Source!AO324</f>
        <v>168.65</v>
      </c>
      <c r="G394" s="20" t="str">
        <f>Source!DG324</f>
        <v>)*1,04</v>
      </c>
      <c r="H394" s="9">
        <f>Source!AV324</f>
        <v>1</v>
      </c>
      <c r="I394" s="9">
        <f>IF(Source!BA324&lt;&gt; 0, Source!BA324, 1)</f>
        <v>1</v>
      </c>
      <c r="J394" s="21">
        <f>Source!S324</f>
        <v>2104.75</v>
      </c>
      <c r="K394" s="21"/>
    </row>
    <row r="395" spans="1:22" ht="14.25" x14ac:dyDescent="0.2">
      <c r="A395" s="18"/>
      <c r="B395" s="18"/>
      <c r="C395" s="18" t="s">
        <v>464</v>
      </c>
      <c r="D395" s="19"/>
      <c r="E395" s="9"/>
      <c r="F395" s="21">
        <f>Source!AL324</f>
        <v>0.63</v>
      </c>
      <c r="G395" s="20" t="str">
        <f>Source!DD324</f>
        <v/>
      </c>
      <c r="H395" s="9">
        <f>Source!AW324</f>
        <v>1</v>
      </c>
      <c r="I395" s="9">
        <f>IF(Source!BC324&lt;&gt; 0, Source!BC324, 1)</f>
        <v>1</v>
      </c>
      <c r="J395" s="21">
        <f>Source!P324</f>
        <v>7.56</v>
      </c>
      <c r="K395" s="21"/>
    </row>
    <row r="396" spans="1:22" ht="14.25" x14ac:dyDescent="0.2">
      <c r="A396" s="18"/>
      <c r="B396" s="18"/>
      <c r="C396" s="18" t="s">
        <v>465</v>
      </c>
      <c r="D396" s="19" t="s">
        <v>466</v>
      </c>
      <c r="E396" s="9">
        <f>Source!AT324</f>
        <v>70</v>
      </c>
      <c r="F396" s="21"/>
      <c r="G396" s="20"/>
      <c r="H396" s="9"/>
      <c r="I396" s="9"/>
      <c r="J396" s="21">
        <f>SUM(R392:R395)</f>
        <v>1473.33</v>
      </c>
      <c r="K396" s="21"/>
    </row>
    <row r="397" spans="1:22" ht="14.25" x14ac:dyDescent="0.2">
      <c r="A397" s="18"/>
      <c r="B397" s="18"/>
      <c r="C397" s="18" t="s">
        <v>467</v>
      </c>
      <c r="D397" s="19" t="s">
        <v>466</v>
      </c>
      <c r="E397" s="9">
        <f>Source!AU324</f>
        <v>10</v>
      </c>
      <c r="F397" s="21"/>
      <c r="G397" s="20"/>
      <c r="H397" s="9"/>
      <c r="I397" s="9"/>
      <c r="J397" s="21">
        <f>SUM(T392:T396)</f>
        <v>210.48</v>
      </c>
      <c r="K397" s="21"/>
    </row>
    <row r="398" spans="1:22" ht="14.25" x14ac:dyDescent="0.2">
      <c r="A398" s="18"/>
      <c r="B398" s="18"/>
      <c r="C398" s="18" t="s">
        <v>469</v>
      </c>
      <c r="D398" s="19" t="s">
        <v>470</v>
      </c>
      <c r="E398" s="9">
        <f>Source!AQ324</f>
        <v>0.3</v>
      </c>
      <c r="F398" s="21"/>
      <c r="G398" s="20" t="str">
        <f>Source!DI324</f>
        <v>)*1,04</v>
      </c>
      <c r="H398" s="9">
        <f>Source!AV324</f>
        <v>1</v>
      </c>
      <c r="I398" s="9"/>
      <c r="J398" s="21"/>
      <c r="K398" s="21">
        <f>Source!U324</f>
        <v>3.7439999999999998</v>
      </c>
    </row>
    <row r="399" spans="1:22" ht="15" x14ac:dyDescent="0.25">
      <c r="A399" s="26"/>
      <c r="B399" s="26"/>
      <c r="C399" s="26"/>
      <c r="D399" s="26"/>
      <c r="E399" s="26"/>
      <c r="F399" s="26"/>
      <c r="G399" s="26"/>
      <c r="H399" s="26"/>
      <c r="I399" s="53">
        <f>J394+J395+J396+J397</f>
        <v>3796.12</v>
      </c>
      <c r="J399" s="53"/>
      <c r="K399" s="27">
        <f>IF(Source!I324&lt;&gt;0, ROUND(I399/Source!I324, 2), 0)</f>
        <v>316.33999999999997</v>
      </c>
      <c r="P399" s="24">
        <f>I399</f>
        <v>3796.12</v>
      </c>
    </row>
    <row r="400" spans="1:22" ht="108" x14ac:dyDescent="0.2">
      <c r="A400" s="18">
        <v>39</v>
      </c>
      <c r="B400" s="18" t="s">
        <v>475</v>
      </c>
      <c r="C400" s="18" t="s">
        <v>476</v>
      </c>
      <c r="D400" s="19" t="str">
        <f>Source!H325</f>
        <v>шт.</v>
      </c>
      <c r="E400" s="9">
        <f>Source!I325</f>
        <v>20</v>
      </c>
      <c r="F400" s="21"/>
      <c r="G400" s="20"/>
      <c r="H400" s="9"/>
      <c r="I400" s="9"/>
      <c r="J400" s="21"/>
      <c r="K400" s="21"/>
      <c r="Q400">
        <f>ROUND((Source!BZ325/100)*ROUND((Source!AF325*Source!AV325)*Source!I325, 2), 2)</f>
        <v>3274.11</v>
      </c>
      <c r="R400">
        <f>Source!X325</f>
        <v>3274.11</v>
      </c>
      <c r="S400">
        <f>ROUND((Source!CA325/100)*ROUND((Source!AF325*Source!AV325)*Source!I325, 2), 2)</f>
        <v>467.73</v>
      </c>
      <c r="T400">
        <f>Source!Y325</f>
        <v>467.73</v>
      </c>
      <c r="U400">
        <f>ROUND((175/100)*ROUND((Source!AE325*Source!AV325)*Source!I325, 2), 2)</f>
        <v>0</v>
      </c>
      <c r="V400">
        <f>ROUND((108/100)*ROUND(Source!CS325*Source!I325, 2), 2)</f>
        <v>0</v>
      </c>
    </row>
    <row r="401" spans="1:22" x14ac:dyDescent="0.2">
      <c r="C401" s="22" t="str">
        <f>"Объем: "&amp;Source!I325&amp;"=5*"&amp;"4"</f>
        <v>Объем: 20=5*4</v>
      </c>
    </row>
    <row r="402" spans="1:22" ht="14.25" x14ac:dyDescent="0.2">
      <c r="A402" s="18"/>
      <c r="B402" s="18"/>
      <c r="C402" s="18" t="s">
        <v>461</v>
      </c>
      <c r="D402" s="19"/>
      <c r="E402" s="9"/>
      <c r="F402" s="21">
        <f>Source!AO325</f>
        <v>224.87</v>
      </c>
      <c r="G402" s="20" t="str">
        <f>Source!DG325</f>
        <v>)*1,04</v>
      </c>
      <c r="H402" s="9">
        <f>Source!AV325</f>
        <v>1</v>
      </c>
      <c r="I402" s="9">
        <f>IF(Source!BA325&lt;&gt; 0, Source!BA325, 1)</f>
        <v>1</v>
      </c>
      <c r="J402" s="21">
        <f>Source!S325</f>
        <v>4677.3</v>
      </c>
      <c r="K402" s="21"/>
    </row>
    <row r="403" spans="1:22" ht="14.25" x14ac:dyDescent="0.2">
      <c r="A403" s="18"/>
      <c r="B403" s="18"/>
      <c r="C403" s="18" t="s">
        <v>464</v>
      </c>
      <c r="D403" s="19"/>
      <c r="E403" s="9"/>
      <c r="F403" s="21">
        <f>Source!AL325</f>
        <v>1.26</v>
      </c>
      <c r="G403" s="20" t="str">
        <f>Source!DD325</f>
        <v/>
      </c>
      <c r="H403" s="9">
        <f>Source!AW325</f>
        <v>1</v>
      </c>
      <c r="I403" s="9">
        <f>IF(Source!BC325&lt;&gt; 0, Source!BC325, 1)</f>
        <v>1</v>
      </c>
      <c r="J403" s="21">
        <f>Source!P325</f>
        <v>25.2</v>
      </c>
      <c r="K403" s="21"/>
    </row>
    <row r="404" spans="1:22" ht="14.25" x14ac:dyDescent="0.2">
      <c r="A404" s="18"/>
      <c r="B404" s="18"/>
      <c r="C404" s="18" t="s">
        <v>465</v>
      </c>
      <c r="D404" s="19" t="s">
        <v>466</v>
      </c>
      <c r="E404" s="9">
        <f>Source!AT325</f>
        <v>70</v>
      </c>
      <c r="F404" s="21"/>
      <c r="G404" s="20"/>
      <c r="H404" s="9"/>
      <c r="I404" s="9"/>
      <c r="J404" s="21">
        <f>SUM(R400:R403)</f>
        <v>3274.11</v>
      </c>
      <c r="K404" s="21"/>
    </row>
    <row r="405" spans="1:22" ht="14.25" x14ac:dyDescent="0.2">
      <c r="A405" s="18"/>
      <c r="B405" s="18"/>
      <c r="C405" s="18" t="s">
        <v>467</v>
      </c>
      <c r="D405" s="19" t="s">
        <v>466</v>
      </c>
      <c r="E405" s="9">
        <f>Source!AU325</f>
        <v>10</v>
      </c>
      <c r="F405" s="21"/>
      <c r="G405" s="20"/>
      <c r="H405" s="9"/>
      <c r="I405" s="9"/>
      <c r="J405" s="21">
        <f>SUM(T400:T404)</f>
        <v>467.73</v>
      </c>
      <c r="K405" s="21"/>
    </row>
    <row r="406" spans="1:22" ht="14.25" x14ac:dyDescent="0.2">
      <c r="A406" s="18"/>
      <c r="B406" s="18"/>
      <c r="C406" s="18" t="s">
        <v>469</v>
      </c>
      <c r="D406" s="19" t="s">
        <v>470</v>
      </c>
      <c r="E406" s="9">
        <f>Source!AQ325</f>
        <v>0.4</v>
      </c>
      <c r="F406" s="21"/>
      <c r="G406" s="20" t="str">
        <f>Source!DI325</f>
        <v>)*1,04</v>
      </c>
      <c r="H406" s="9">
        <f>Source!AV325</f>
        <v>1</v>
      </c>
      <c r="I406" s="9"/>
      <c r="J406" s="21"/>
      <c r="K406" s="21">
        <f>Source!U325</f>
        <v>8.32</v>
      </c>
    </row>
    <row r="407" spans="1:22" ht="15" x14ac:dyDescent="0.25">
      <c r="A407" s="26"/>
      <c r="B407" s="26"/>
      <c r="C407" s="26"/>
      <c r="D407" s="26"/>
      <c r="E407" s="26"/>
      <c r="F407" s="26"/>
      <c r="G407" s="26"/>
      <c r="H407" s="26"/>
      <c r="I407" s="53">
        <f>J402+J403+J404+J405</f>
        <v>8444.34</v>
      </c>
      <c r="J407" s="53"/>
      <c r="K407" s="27">
        <f>IF(Source!I325&lt;&gt;0, ROUND(I407/Source!I325, 2), 0)</f>
        <v>422.22</v>
      </c>
      <c r="P407" s="24">
        <f>I407</f>
        <v>8444.34</v>
      </c>
    </row>
    <row r="408" spans="1:22" ht="71.25" x14ac:dyDescent="0.2">
      <c r="A408" s="18">
        <v>40</v>
      </c>
      <c r="B408" s="18" t="str">
        <f>Source!F326</f>
        <v>1.20-2103-20-1/1</v>
      </c>
      <c r="C408" s="18" t="str">
        <f>Source!G326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408" s="19" t="str">
        <f>Source!H326</f>
        <v>шт.</v>
      </c>
      <c r="E408" s="9">
        <f>Source!I326</f>
        <v>12</v>
      </c>
      <c r="F408" s="21"/>
      <c r="G408" s="20"/>
      <c r="H408" s="9"/>
      <c r="I408" s="9"/>
      <c r="J408" s="21"/>
      <c r="K408" s="21"/>
      <c r="Q408">
        <f>ROUND((Source!BZ326/100)*ROUND((Source!AF326*Source!AV326)*Source!I326, 2), 2)</f>
        <v>4910.9799999999996</v>
      </c>
      <c r="R408">
        <f>Source!X326</f>
        <v>4910.9799999999996</v>
      </c>
      <c r="S408">
        <f>ROUND((Source!CA326/100)*ROUND((Source!AF326*Source!AV326)*Source!I326, 2), 2)</f>
        <v>701.57</v>
      </c>
      <c r="T408">
        <f>Source!Y326</f>
        <v>701.57</v>
      </c>
      <c r="U408">
        <f>ROUND((175/100)*ROUND((Source!AE326*Source!AV326)*Source!I326, 2), 2)</f>
        <v>0</v>
      </c>
      <c r="V408">
        <f>ROUND((108/100)*ROUND(Source!CS326*Source!I326, 2), 2)</f>
        <v>0</v>
      </c>
    </row>
    <row r="409" spans="1:22" x14ac:dyDescent="0.2">
      <c r="C409" s="22" t="str">
        <f>"Объем: "&amp;Source!I326&amp;"=3*"&amp;"4"</f>
        <v>Объем: 12=3*4</v>
      </c>
    </row>
    <row r="410" spans="1:22" ht="14.25" x14ac:dyDescent="0.2">
      <c r="A410" s="18"/>
      <c r="B410" s="18"/>
      <c r="C410" s="18" t="s">
        <v>461</v>
      </c>
      <c r="D410" s="19"/>
      <c r="E410" s="9"/>
      <c r="F410" s="21">
        <f>Source!AO326</f>
        <v>146.16</v>
      </c>
      <c r="G410" s="20" t="str">
        <f>Source!DG326</f>
        <v>)*4</v>
      </c>
      <c r="H410" s="9">
        <f>Source!AV326</f>
        <v>1</v>
      </c>
      <c r="I410" s="9">
        <f>IF(Source!BA326&lt;&gt; 0, Source!BA326, 1)</f>
        <v>1</v>
      </c>
      <c r="J410" s="21">
        <f>Source!S326</f>
        <v>7015.68</v>
      </c>
      <c r="K410" s="21"/>
    </row>
    <row r="411" spans="1:22" ht="14.25" x14ac:dyDescent="0.2">
      <c r="A411" s="18"/>
      <c r="B411" s="18"/>
      <c r="C411" s="18" t="s">
        <v>464</v>
      </c>
      <c r="D411" s="19"/>
      <c r="E411" s="9"/>
      <c r="F411" s="21">
        <f>Source!AL326</f>
        <v>1.26</v>
      </c>
      <c r="G411" s="20" t="str">
        <f>Source!DD326</f>
        <v>)*4</v>
      </c>
      <c r="H411" s="9">
        <f>Source!AW326</f>
        <v>1</v>
      </c>
      <c r="I411" s="9">
        <f>IF(Source!BC326&lt;&gt; 0, Source!BC326, 1)</f>
        <v>1</v>
      </c>
      <c r="J411" s="21">
        <f>Source!P326</f>
        <v>60.48</v>
      </c>
      <c r="K411" s="21"/>
    </row>
    <row r="412" spans="1:22" ht="14.25" x14ac:dyDescent="0.2">
      <c r="A412" s="18"/>
      <c r="B412" s="18"/>
      <c r="C412" s="18" t="s">
        <v>465</v>
      </c>
      <c r="D412" s="19" t="s">
        <v>466</v>
      </c>
      <c r="E412" s="9">
        <f>Source!AT326</f>
        <v>70</v>
      </c>
      <c r="F412" s="21"/>
      <c r="G412" s="20"/>
      <c r="H412" s="9"/>
      <c r="I412" s="9"/>
      <c r="J412" s="21">
        <f>SUM(R408:R411)</f>
        <v>4910.9799999999996</v>
      </c>
      <c r="K412" s="21"/>
    </row>
    <row r="413" spans="1:22" ht="14.25" x14ac:dyDescent="0.2">
      <c r="A413" s="18"/>
      <c r="B413" s="18"/>
      <c r="C413" s="18" t="s">
        <v>467</v>
      </c>
      <c r="D413" s="19" t="s">
        <v>466</v>
      </c>
      <c r="E413" s="9">
        <f>Source!AU326</f>
        <v>10</v>
      </c>
      <c r="F413" s="21"/>
      <c r="G413" s="20"/>
      <c r="H413" s="9"/>
      <c r="I413" s="9"/>
      <c r="J413" s="21">
        <f>SUM(T408:T412)</f>
        <v>701.57</v>
      </c>
      <c r="K413" s="21"/>
    </row>
    <row r="414" spans="1:22" ht="14.25" x14ac:dyDescent="0.2">
      <c r="A414" s="18"/>
      <c r="B414" s="18"/>
      <c r="C414" s="18" t="s">
        <v>469</v>
      </c>
      <c r="D414" s="19" t="s">
        <v>470</v>
      </c>
      <c r="E414" s="9">
        <f>Source!AQ326</f>
        <v>0.26</v>
      </c>
      <c r="F414" s="21"/>
      <c r="G414" s="20" t="str">
        <f>Source!DI326</f>
        <v>)*4</v>
      </c>
      <c r="H414" s="9">
        <f>Source!AV326</f>
        <v>1</v>
      </c>
      <c r="I414" s="9"/>
      <c r="J414" s="21"/>
      <c r="K414" s="21">
        <f>Source!U326</f>
        <v>12.48</v>
      </c>
    </row>
    <row r="415" spans="1:22" ht="15" x14ac:dyDescent="0.25">
      <c r="A415" s="26"/>
      <c r="B415" s="26"/>
      <c r="C415" s="26"/>
      <c r="D415" s="26"/>
      <c r="E415" s="26"/>
      <c r="F415" s="26"/>
      <c r="G415" s="26"/>
      <c r="H415" s="26"/>
      <c r="I415" s="53">
        <f>J410+J411+J412+J413</f>
        <v>12688.71</v>
      </c>
      <c r="J415" s="53"/>
      <c r="K415" s="27">
        <f>IF(Source!I326&lt;&gt;0, ROUND(I415/Source!I326, 2), 0)</f>
        <v>1057.3900000000001</v>
      </c>
      <c r="P415" s="24">
        <f>I415</f>
        <v>12688.71</v>
      </c>
    </row>
    <row r="416" spans="1:22" ht="28.5" x14ac:dyDescent="0.2">
      <c r="A416" s="18">
        <v>41</v>
      </c>
      <c r="B416" s="18" t="str">
        <f>Source!F327</f>
        <v>1.18-2303-3-1/1</v>
      </c>
      <c r="C416" s="18" t="str">
        <f>Source!G327</f>
        <v>Техническое обслуживание канального вентилятора - ежемесячное</v>
      </c>
      <c r="D416" s="19" t="str">
        <f>Source!H327</f>
        <v>шт.</v>
      </c>
      <c r="E416" s="9">
        <f>Source!I327</f>
        <v>8</v>
      </c>
      <c r="F416" s="21"/>
      <c r="G416" s="20"/>
      <c r="H416" s="9"/>
      <c r="I416" s="9"/>
      <c r="J416" s="21"/>
      <c r="K416" s="21"/>
      <c r="Q416">
        <f>ROUND((Source!BZ327/100)*ROUND((Source!AF327*Source!AV327)*Source!I327, 2), 2)</f>
        <v>6812.29</v>
      </c>
      <c r="R416">
        <f>Source!X327</f>
        <v>6812.29</v>
      </c>
      <c r="S416">
        <f>ROUND((Source!CA327/100)*ROUND((Source!AF327*Source!AV327)*Source!I327, 2), 2)</f>
        <v>973.18</v>
      </c>
      <c r="T416">
        <f>Source!Y327</f>
        <v>973.18</v>
      </c>
      <c r="U416">
        <f>ROUND((175/100)*ROUND((Source!AE327*Source!AV327)*Source!I327, 2), 2)</f>
        <v>0</v>
      </c>
      <c r="V416">
        <f>ROUND((108/100)*ROUND(Source!CS327*Source!I327, 2), 2)</f>
        <v>0</v>
      </c>
    </row>
    <row r="417" spans="1:22" x14ac:dyDescent="0.2">
      <c r="C417" s="22" t="str">
        <f>"Объем: "&amp;Source!I327&amp;"=2*"&amp;"4"</f>
        <v>Объем: 8=2*4</v>
      </c>
    </row>
    <row r="418" spans="1:22" ht="14.25" x14ac:dyDescent="0.2">
      <c r="A418" s="18"/>
      <c r="B418" s="18"/>
      <c r="C418" s="18" t="s">
        <v>461</v>
      </c>
      <c r="D418" s="19"/>
      <c r="E418" s="9"/>
      <c r="F418" s="21">
        <f>Source!AO327</f>
        <v>304.12</v>
      </c>
      <c r="G418" s="20" t="str">
        <f>Source!DG327</f>
        <v>)*4</v>
      </c>
      <c r="H418" s="9">
        <f>Source!AV327</f>
        <v>1</v>
      </c>
      <c r="I418" s="9">
        <f>IF(Source!BA327&lt;&gt; 0, Source!BA327, 1)</f>
        <v>1</v>
      </c>
      <c r="J418" s="21">
        <f>Source!S327</f>
        <v>9731.84</v>
      </c>
      <c r="K418" s="21"/>
    </row>
    <row r="419" spans="1:22" ht="14.25" x14ac:dyDescent="0.2">
      <c r="A419" s="18"/>
      <c r="B419" s="18"/>
      <c r="C419" s="18" t="s">
        <v>465</v>
      </c>
      <c r="D419" s="19" t="s">
        <v>466</v>
      </c>
      <c r="E419" s="9">
        <f>Source!AT327</f>
        <v>70</v>
      </c>
      <c r="F419" s="21"/>
      <c r="G419" s="20"/>
      <c r="H419" s="9"/>
      <c r="I419" s="9"/>
      <c r="J419" s="21">
        <f>SUM(R416:R418)</f>
        <v>6812.29</v>
      </c>
      <c r="K419" s="21"/>
    </row>
    <row r="420" spans="1:22" ht="14.25" x14ac:dyDescent="0.2">
      <c r="A420" s="18"/>
      <c r="B420" s="18"/>
      <c r="C420" s="18" t="s">
        <v>467</v>
      </c>
      <c r="D420" s="19" t="s">
        <v>466</v>
      </c>
      <c r="E420" s="9">
        <f>Source!AU327</f>
        <v>10</v>
      </c>
      <c r="F420" s="21"/>
      <c r="G420" s="20"/>
      <c r="H420" s="9"/>
      <c r="I420" s="9"/>
      <c r="J420" s="21">
        <f>SUM(T416:T419)</f>
        <v>973.18</v>
      </c>
      <c r="K420" s="21"/>
    </row>
    <row r="421" spans="1:22" ht="14.25" x14ac:dyDescent="0.2">
      <c r="A421" s="18"/>
      <c r="B421" s="18"/>
      <c r="C421" s="18" t="s">
        <v>469</v>
      </c>
      <c r="D421" s="19" t="s">
        <v>470</v>
      </c>
      <c r="E421" s="9">
        <f>Source!AQ327</f>
        <v>0.5</v>
      </c>
      <c r="F421" s="21"/>
      <c r="G421" s="20" t="str">
        <f>Source!DI327</f>
        <v>)*4</v>
      </c>
      <c r="H421" s="9">
        <f>Source!AV327</f>
        <v>1</v>
      </c>
      <c r="I421" s="9"/>
      <c r="J421" s="21"/>
      <c r="K421" s="21">
        <f>Source!U327</f>
        <v>16</v>
      </c>
    </row>
    <row r="422" spans="1:22" ht="15" x14ac:dyDescent="0.25">
      <c r="A422" s="26"/>
      <c r="B422" s="26"/>
      <c r="C422" s="26"/>
      <c r="D422" s="26"/>
      <c r="E422" s="26"/>
      <c r="F422" s="26"/>
      <c r="G422" s="26"/>
      <c r="H422" s="26"/>
      <c r="I422" s="53">
        <f>J418+J419+J420</f>
        <v>17517.310000000001</v>
      </c>
      <c r="J422" s="53"/>
      <c r="K422" s="27">
        <f>IF(Source!I327&lt;&gt;0, ROUND(I422/Source!I327, 2), 0)</f>
        <v>2189.66</v>
      </c>
      <c r="P422" s="24">
        <f>I422</f>
        <v>17517.310000000001</v>
      </c>
    </row>
    <row r="423" spans="1:22" ht="28.5" x14ac:dyDescent="0.2">
      <c r="A423" s="18">
        <v>42</v>
      </c>
      <c r="B423" s="18" t="str">
        <f>Source!F330</f>
        <v>1.23-2103-6-1/1</v>
      </c>
      <c r="C423" s="18" t="str">
        <f>Source!G330</f>
        <v>Техническое обслуживание выключателей поплавковых</v>
      </c>
      <c r="D423" s="19" t="str">
        <f>Source!H330</f>
        <v>100 шт.</v>
      </c>
      <c r="E423" s="9">
        <f>Source!I330</f>
        <v>0.04</v>
      </c>
      <c r="F423" s="21"/>
      <c r="G423" s="20"/>
      <c r="H423" s="9"/>
      <c r="I423" s="9"/>
      <c r="J423" s="21"/>
      <c r="K423" s="21"/>
      <c r="Q423">
        <f>ROUND((Source!BZ330/100)*ROUND((Source!AF330*Source!AV330)*Source!I330, 2), 2)</f>
        <v>359.73</v>
      </c>
      <c r="R423">
        <f>Source!X330</f>
        <v>359.73</v>
      </c>
      <c r="S423">
        <f>ROUND((Source!CA330/100)*ROUND((Source!AF330*Source!AV330)*Source!I330, 2), 2)</f>
        <v>51.39</v>
      </c>
      <c r="T423">
        <f>Source!Y330</f>
        <v>51.39</v>
      </c>
      <c r="U423">
        <f>ROUND((175/100)*ROUND((Source!AE330*Source!AV330)*Source!I330, 2), 2)</f>
        <v>161.93</v>
      </c>
      <c r="V423">
        <f>ROUND((108/100)*ROUND(Source!CS330*Source!I330, 2), 2)</f>
        <v>99.93</v>
      </c>
    </row>
    <row r="424" spans="1:22" x14ac:dyDescent="0.2">
      <c r="C424" s="22" t="str">
        <f>"Объем: "&amp;Source!I330&amp;"=(1*"&amp;"4)/"&amp;"100"</f>
        <v>Объем: 0,04=(1*4)/100</v>
      </c>
    </row>
    <row r="425" spans="1:22" ht="14.25" x14ac:dyDescent="0.2">
      <c r="A425" s="18"/>
      <c r="B425" s="18"/>
      <c r="C425" s="18" t="s">
        <v>461</v>
      </c>
      <c r="D425" s="19"/>
      <c r="E425" s="9"/>
      <c r="F425" s="21">
        <f>Source!AO330</f>
        <v>3211.89</v>
      </c>
      <c r="G425" s="20" t="str">
        <f>Source!DG330</f>
        <v>)*4</v>
      </c>
      <c r="H425" s="9">
        <f>Source!AV330</f>
        <v>1</v>
      </c>
      <c r="I425" s="9">
        <f>IF(Source!BA330&lt;&gt; 0, Source!BA330, 1)</f>
        <v>1</v>
      </c>
      <c r="J425" s="21">
        <f>Source!S330</f>
        <v>513.9</v>
      </c>
      <c r="K425" s="21"/>
    </row>
    <row r="426" spans="1:22" ht="14.25" x14ac:dyDescent="0.2">
      <c r="A426" s="18"/>
      <c r="B426" s="18"/>
      <c r="C426" s="18" t="s">
        <v>462</v>
      </c>
      <c r="D426" s="19"/>
      <c r="E426" s="9"/>
      <c r="F426" s="21">
        <f>Source!AM330</f>
        <v>912.11</v>
      </c>
      <c r="G426" s="20" t="str">
        <f>Source!DE330</f>
        <v>)*4</v>
      </c>
      <c r="H426" s="9">
        <f>Source!AV330</f>
        <v>1</v>
      </c>
      <c r="I426" s="9">
        <f>IF(Source!BB330&lt;&gt; 0, Source!BB330, 1)</f>
        <v>1</v>
      </c>
      <c r="J426" s="21">
        <f>Source!Q330</f>
        <v>145.94</v>
      </c>
      <c r="K426" s="21"/>
    </row>
    <row r="427" spans="1:22" ht="14.25" x14ac:dyDescent="0.2">
      <c r="A427" s="18"/>
      <c r="B427" s="18"/>
      <c r="C427" s="18" t="s">
        <v>463</v>
      </c>
      <c r="D427" s="19"/>
      <c r="E427" s="9"/>
      <c r="F427" s="21">
        <f>Source!AN330</f>
        <v>578.34</v>
      </c>
      <c r="G427" s="20" t="str">
        <f>Source!DF330</f>
        <v>)*4</v>
      </c>
      <c r="H427" s="9">
        <f>Source!AV330</f>
        <v>1</v>
      </c>
      <c r="I427" s="9">
        <f>IF(Source!BS330&lt;&gt; 0, Source!BS330, 1)</f>
        <v>1</v>
      </c>
      <c r="J427" s="23">
        <f>Source!R330</f>
        <v>92.53</v>
      </c>
      <c r="K427" s="21"/>
    </row>
    <row r="428" spans="1:22" ht="14.25" x14ac:dyDescent="0.2">
      <c r="A428" s="18"/>
      <c r="B428" s="18"/>
      <c r="C428" s="18" t="s">
        <v>464</v>
      </c>
      <c r="D428" s="19"/>
      <c r="E428" s="9"/>
      <c r="F428" s="21">
        <f>Source!AL330</f>
        <v>0.94</v>
      </c>
      <c r="G428" s="20" t="str">
        <f>Source!DD330</f>
        <v>)*4</v>
      </c>
      <c r="H428" s="9">
        <f>Source!AW330</f>
        <v>1</v>
      </c>
      <c r="I428" s="9">
        <f>IF(Source!BC330&lt;&gt; 0, Source!BC330, 1)</f>
        <v>1</v>
      </c>
      <c r="J428" s="21">
        <f>Source!P330</f>
        <v>0.15</v>
      </c>
      <c r="K428" s="21"/>
    </row>
    <row r="429" spans="1:22" ht="14.25" x14ac:dyDescent="0.2">
      <c r="A429" s="18"/>
      <c r="B429" s="18"/>
      <c r="C429" s="18" t="s">
        <v>465</v>
      </c>
      <c r="D429" s="19" t="s">
        <v>466</v>
      </c>
      <c r="E429" s="9">
        <f>Source!AT330</f>
        <v>70</v>
      </c>
      <c r="F429" s="21"/>
      <c r="G429" s="20"/>
      <c r="H429" s="9"/>
      <c r="I429" s="9"/>
      <c r="J429" s="21">
        <f>SUM(R423:R428)</f>
        <v>359.73</v>
      </c>
      <c r="K429" s="21"/>
    </row>
    <row r="430" spans="1:22" ht="14.25" x14ac:dyDescent="0.2">
      <c r="A430" s="18"/>
      <c r="B430" s="18"/>
      <c r="C430" s="18" t="s">
        <v>467</v>
      </c>
      <c r="D430" s="19" t="s">
        <v>466</v>
      </c>
      <c r="E430" s="9">
        <f>Source!AU330</f>
        <v>10</v>
      </c>
      <c r="F430" s="21"/>
      <c r="G430" s="20"/>
      <c r="H430" s="9"/>
      <c r="I430" s="9"/>
      <c r="J430" s="21">
        <f>SUM(T423:T429)</f>
        <v>51.39</v>
      </c>
      <c r="K430" s="21"/>
    </row>
    <row r="431" spans="1:22" ht="14.25" x14ac:dyDescent="0.2">
      <c r="A431" s="18"/>
      <c r="B431" s="18"/>
      <c r="C431" s="18" t="s">
        <v>468</v>
      </c>
      <c r="D431" s="19" t="s">
        <v>466</v>
      </c>
      <c r="E431" s="9">
        <f>108</f>
        <v>108</v>
      </c>
      <c r="F431" s="21"/>
      <c r="G431" s="20"/>
      <c r="H431" s="9"/>
      <c r="I431" s="9"/>
      <c r="J431" s="21">
        <f>SUM(V423:V430)</f>
        <v>99.93</v>
      </c>
      <c r="K431" s="21"/>
    </row>
    <row r="432" spans="1:22" ht="14.25" x14ac:dyDescent="0.2">
      <c r="A432" s="18"/>
      <c r="B432" s="18"/>
      <c r="C432" s="18" t="s">
        <v>469</v>
      </c>
      <c r="D432" s="19" t="s">
        <v>470</v>
      </c>
      <c r="E432" s="9">
        <f>Source!AQ330</f>
        <v>6</v>
      </c>
      <c r="F432" s="21"/>
      <c r="G432" s="20" t="str">
        <f>Source!DI330</f>
        <v>)*4</v>
      </c>
      <c r="H432" s="9">
        <f>Source!AV330</f>
        <v>1</v>
      </c>
      <c r="I432" s="9"/>
      <c r="J432" s="21"/>
      <c r="K432" s="21">
        <f>Source!U330</f>
        <v>0.96</v>
      </c>
    </row>
    <row r="433" spans="1:22" ht="15" x14ac:dyDescent="0.25">
      <c r="A433" s="26"/>
      <c r="B433" s="26"/>
      <c r="C433" s="26"/>
      <c r="D433" s="26"/>
      <c r="E433" s="26"/>
      <c r="F433" s="26"/>
      <c r="G433" s="26"/>
      <c r="H433" s="26"/>
      <c r="I433" s="53">
        <f>J425+J426+J428+J429+J430+J431</f>
        <v>1171.04</v>
      </c>
      <c r="J433" s="53"/>
      <c r="K433" s="27">
        <f>IF(Source!I330&lt;&gt;0, ROUND(I433/Source!I330, 2), 0)</f>
        <v>29276</v>
      </c>
      <c r="P433" s="24">
        <f>I433</f>
        <v>1171.04</v>
      </c>
    </row>
    <row r="434" spans="1:22" ht="71.25" x14ac:dyDescent="0.2">
      <c r="A434" s="18">
        <v>43</v>
      </c>
      <c r="B434" s="18" t="str">
        <f>Source!F332</f>
        <v>1.21-2303-37-1/1</v>
      </c>
      <c r="C434" s="18" t="str">
        <f>Source!G332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434" s="19" t="str">
        <f>Source!H332</f>
        <v>10 шт.</v>
      </c>
      <c r="E434" s="9">
        <f>Source!I332</f>
        <v>1.6</v>
      </c>
      <c r="F434" s="21"/>
      <c r="G434" s="20"/>
      <c r="H434" s="9"/>
      <c r="I434" s="9"/>
      <c r="J434" s="21"/>
      <c r="K434" s="21"/>
      <c r="Q434">
        <f>ROUND((Source!BZ332/100)*ROUND((Source!AF332*Source!AV332)*Source!I332, 2), 2)</f>
        <v>124.49</v>
      </c>
      <c r="R434">
        <f>Source!X332</f>
        <v>124.49</v>
      </c>
      <c r="S434">
        <f>ROUND((Source!CA332/100)*ROUND((Source!AF332*Source!AV332)*Source!I332, 2), 2)</f>
        <v>17.78</v>
      </c>
      <c r="T434">
        <f>Source!Y332</f>
        <v>17.78</v>
      </c>
      <c r="U434">
        <f>ROUND((175/100)*ROUND((Source!AE332*Source!AV332)*Source!I332, 2), 2)</f>
        <v>0</v>
      </c>
      <c r="V434">
        <f>ROUND((108/100)*ROUND(Source!CS332*Source!I332, 2), 2)</f>
        <v>0</v>
      </c>
    </row>
    <row r="435" spans="1:22" x14ac:dyDescent="0.2">
      <c r="C435" s="22" t="str">
        <f>"Объем: "&amp;Source!I332&amp;"=(4*"&amp;"4)/"&amp;"10"</f>
        <v>Объем: 1,6=(4*4)/10</v>
      </c>
    </row>
    <row r="436" spans="1:22" ht="14.25" x14ac:dyDescent="0.2">
      <c r="A436" s="18"/>
      <c r="B436" s="18"/>
      <c r="C436" s="18" t="s">
        <v>461</v>
      </c>
      <c r="D436" s="19"/>
      <c r="E436" s="9"/>
      <c r="F436" s="21">
        <f>Source!AO332</f>
        <v>111.15</v>
      </c>
      <c r="G436" s="20" t="str">
        <f>Source!DG332</f>
        <v/>
      </c>
      <c r="H436" s="9">
        <f>Source!AV332</f>
        <v>1</v>
      </c>
      <c r="I436" s="9">
        <f>IF(Source!BA332&lt;&gt; 0, Source!BA332, 1)</f>
        <v>1</v>
      </c>
      <c r="J436" s="21">
        <f>Source!S332</f>
        <v>177.84</v>
      </c>
      <c r="K436" s="21"/>
    </row>
    <row r="437" spans="1:22" ht="14.25" x14ac:dyDescent="0.2">
      <c r="A437" s="18"/>
      <c r="B437" s="18"/>
      <c r="C437" s="18" t="s">
        <v>464</v>
      </c>
      <c r="D437" s="19"/>
      <c r="E437" s="9"/>
      <c r="F437" s="21">
        <f>Source!AL332</f>
        <v>6.3</v>
      </c>
      <c r="G437" s="20" t="str">
        <f>Source!DD332</f>
        <v/>
      </c>
      <c r="H437" s="9">
        <f>Source!AW332</f>
        <v>1</v>
      </c>
      <c r="I437" s="9">
        <f>IF(Source!BC332&lt;&gt; 0, Source!BC332, 1)</f>
        <v>1</v>
      </c>
      <c r="J437" s="21">
        <f>Source!P332</f>
        <v>10.08</v>
      </c>
      <c r="K437" s="21"/>
    </row>
    <row r="438" spans="1:22" ht="14.25" x14ac:dyDescent="0.2">
      <c r="A438" s="18"/>
      <c r="B438" s="18"/>
      <c r="C438" s="18" t="s">
        <v>465</v>
      </c>
      <c r="D438" s="19" t="s">
        <v>466</v>
      </c>
      <c r="E438" s="9">
        <f>Source!AT332</f>
        <v>70</v>
      </c>
      <c r="F438" s="21"/>
      <c r="G438" s="20"/>
      <c r="H438" s="9"/>
      <c r="I438" s="9"/>
      <c r="J438" s="21">
        <f>SUM(R434:R437)</f>
        <v>124.49</v>
      </c>
      <c r="K438" s="21"/>
    </row>
    <row r="439" spans="1:22" ht="14.25" x14ac:dyDescent="0.2">
      <c r="A439" s="18"/>
      <c r="B439" s="18"/>
      <c r="C439" s="18" t="s">
        <v>467</v>
      </c>
      <c r="D439" s="19" t="s">
        <v>466</v>
      </c>
      <c r="E439" s="9">
        <f>Source!AU332</f>
        <v>10</v>
      </c>
      <c r="F439" s="21"/>
      <c r="G439" s="20"/>
      <c r="H439" s="9"/>
      <c r="I439" s="9"/>
      <c r="J439" s="21">
        <f>SUM(T434:T438)</f>
        <v>17.78</v>
      </c>
      <c r="K439" s="21"/>
    </row>
    <row r="440" spans="1:22" ht="14.25" x14ac:dyDescent="0.2">
      <c r="A440" s="18"/>
      <c r="B440" s="18"/>
      <c r="C440" s="18" t="s">
        <v>469</v>
      </c>
      <c r="D440" s="19" t="s">
        <v>470</v>
      </c>
      <c r="E440" s="9">
        <f>Source!AQ332</f>
        <v>0.18</v>
      </c>
      <c r="F440" s="21"/>
      <c r="G440" s="20" t="str">
        <f>Source!DI332</f>
        <v/>
      </c>
      <c r="H440" s="9">
        <f>Source!AV332</f>
        <v>1</v>
      </c>
      <c r="I440" s="9"/>
      <c r="J440" s="21"/>
      <c r="K440" s="21">
        <f>Source!U332</f>
        <v>0.28799999999999998</v>
      </c>
    </row>
    <row r="441" spans="1:22" ht="15" x14ac:dyDescent="0.25">
      <c r="A441" s="26"/>
      <c r="B441" s="26"/>
      <c r="C441" s="26"/>
      <c r="D441" s="26"/>
      <c r="E441" s="26"/>
      <c r="F441" s="26"/>
      <c r="G441" s="26"/>
      <c r="H441" s="26"/>
      <c r="I441" s="53">
        <f>J436+J437+J438+J439</f>
        <v>330.19000000000005</v>
      </c>
      <c r="J441" s="53"/>
      <c r="K441" s="27">
        <f>IF(Source!I332&lt;&gt;0, ROUND(I441/Source!I332, 2), 0)</f>
        <v>206.37</v>
      </c>
      <c r="P441" s="24">
        <f>I441</f>
        <v>330.19000000000005</v>
      </c>
    </row>
    <row r="442" spans="1:22" ht="57" x14ac:dyDescent="0.2">
      <c r="A442" s="18">
        <v>44</v>
      </c>
      <c r="B442" s="18" t="str">
        <f>Source!F334</f>
        <v>1.21-2103-9-2/1</v>
      </c>
      <c r="C442" s="18" t="str">
        <f>Source!G334</f>
        <v>Техническое обслуживание силовых сетей, проложенных по кирпичным и бетонным основаниям, провод сечением 3х1,5-6 мм2 / прим. 3х2,5</v>
      </c>
      <c r="D442" s="19" t="str">
        <f>Source!H334</f>
        <v>100 м</v>
      </c>
      <c r="E442" s="9">
        <f>Source!I334</f>
        <v>0.02</v>
      </c>
      <c r="F442" s="21"/>
      <c r="G442" s="20"/>
      <c r="H442" s="9"/>
      <c r="I442" s="9"/>
      <c r="J442" s="21"/>
      <c r="K442" s="21"/>
      <c r="Q442">
        <f>ROUND((Source!BZ334/100)*ROUND((Source!AF334*Source!AV334)*Source!I334, 2), 2)</f>
        <v>74.94</v>
      </c>
      <c r="R442">
        <f>Source!X334</f>
        <v>74.94</v>
      </c>
      <c r="S442">
        <f>ROUND((Source!CA334/100)*ROUND((Source!AF334*Source!AV334)*Source!I334, 2), 2)</f>
        <v>10.71</v>
      </c>
      <c r="T442">
        <f>Source!Y334</f>
        <v>10.71</v>
      </c>
      <c r="U442">
        <f>ROUND((175/100)*ROUND((Source!AE334*Source!AV334)*Source!I334, 2), 2)</f>
        <v>0</v>
      </c>
      <c r="V442">
        <f>ROUND((108/100)*ROUND(Source!CS334*Source!I334, 2), 2)</f>
        <v>0</v>
      </c>
    </row>
    <row r="443" spans="1:22" x14ac:dyDescent="0.2">
      <c r="C443" s="22" t="str">
        <f>"Объем: "&amp;Source!I334&amp;"=(25*"&amp;"4)*"&amp;"0,2*"&amp;"0,1/"&amp;"100"</f>
        <v>Объем: 0,02=(25*4)*0,2*0,1/100</v>
      </c>
    </row>
    <row r="444" spans="1:22" ht="14.25" x14ac:dyDescent="0.2">
      <c r="A444" s="18"/>
      <c r="B444" s="18"/>
      <c r="C444" s="18" t="s">
        <v>461</v>
      </c>
      <c r="D444" s="19"/>
      <c r="E444" s="9"/>
      <c r="F444" s="21">
        <f>Source!AO334</f>
        <v>5353.15</v>
      </c>
      <c r="G444" s="20" t="str">
        <f>Source!DG334</f>
        <v/>
      </c>
      <c r="H444" s="9">
        <f>Source!AV334</f>
        <v>1</v>
      </c>
      <c r="I444" s="9">
        <f>IF(Source!BA334&lt;&gt; 0, Source!BA334, 1)</f>
        <v>1</v>
      </c>
      <c r="J444" s="21">
        <f>Source!S334</f>
        <v>107.06</v>
      </c>
      <c r="K444" s="21"/>
    </row>
    <row r="445" spans="1:22" ht="14.25" x14ac:dyDescent="0.2">
      <c r="A445" s="18"/>
      <c r="B445" s="18"/>
      <c r="C445" s="18" t="s">
        <v>464</v>
      </c>
      <c r="D445" s="19"/>
      <c r="E445" s="9"/>
      <c r="F445" s="21">
        <f>Source!AL334</f>
        <v>22.51</v>
      </c>
      <c r="G445" s="20" t="str">
        <f>Source!DD334</f>
        <v/>
      </c>
      <c r="H445" s="9">
        <f>Source!AW334</f>
        <v>1</v>
      </c>
      <c r="I445" s="9">
        <f>IF(Source!BC334&lt;&gt; 0, Source!BC334, 1)</f>
        <v>1</v>
      </c>
      <c r="J445" s="21">
        <f>Source!P334</f>
        <v>0.45</v>
      </c>
      <c r="K445" s="21"/>
    </row>
    <row r="446" spans="1:22" ht="14.25" x14ac:dyDescent="0.2">
      <c r="A446" s="18"/>
      <c r="B446" s="18"/>
      <c r="C446" s="18" t="s">
        <v>465</v>
      </c>
      <c r="D446" s="19" t="s">
        <v>466</v>
      </c>
      <c r="E446" s="9">
        <f>Source!AT334</f>
        <v>70</v>
      </c>
      <c r="F446" s="21"/>
      <c r="G446" s="20"/>
      <c r="H446" s="9"/>
      <c r="I446" s="9"/>
      <c r="J446" s="21">
        <f>SUM(R442:R445)</f>
        <v>74.94</v>
      </c>
      <c r="K446" s="21"/>
    </row>
    <row r="447" spans="1:22" ht="14.25" x14ac:dyDescent="0.2">
      <c r="A447" s="18"/>
      <c r="B447" s="18"/>
      <c r="C447" s="18" t="s">
        <v>467</v>
      </c>
      <c r="D447" s="19" t="s">
        <v>466</v>
      </c>
      <c r="E447" s="9">
        <f>Source!AU334</f>
        <v>10</v>
      </c>
      <c r="F447" s="21"/>
      <c r="G447" s="20"/>
      <c r="H447" s="9"/>
      <c r="I447" s="9"/>
      <c r="J447" s="21">
        <f>SUM(T442:T446)</f>
        <v>10.71</v>
      </c>
      <c r="K447" s="21"/>
    </row>
    <row r="448" spans="1:22" ht="14.25" x14ac:dyDescent="0.2">
      <c r="A448" s="18"/>
      <c r="B448" s="18"/>
      <c r="C448" s="18" t="s">
        <v>469</v>
      </c>
      <c r="D448" s="19" t="s">
        <v>470</v>
      </c>
      <c r="E448" s="9">
        <f>Source!AQ334</f>
        <v>10</v>
      </c>
      <c r="F448" s="21"/>
      <c r="G448" s="20" t="str">
        <f>Source!DI334</f>
        <v/>
      </c>
      <c r="H448" s="9">
        <f>Source!AV334</f>
        <v>1</v>
      </c>
      <c r="I448" s="9"/>
      <c r="J448" s="21"/>
      <c r="K448" s="21">
        <f>Source!U334</f>
        <v>0.2</v>
      </c>
    </row>
    <row r="449" spans="1:22" ht="15" x14ac:dyDescent="0.25">
      <c r="A449" s="26"/>
      <c r="B449" s="26"/>
      <c r="C449" s="26"/>
      <c r="D449" s="26"/>
      <c r="E449" s="26"/>
      <c r="F449" s="26"/>
      <c r="G449" s="26"/>
      <c r="H449" s="26"/>
      <c r="I449" s="53">
        <f>J444+J445+J446+J447</f>
        <v>193.16</v>
      </c>
      <c r="J449" s="53"/>
      <c r="K449" s="27">
        <f>IF(Source!I334&lt;&gt;0, ROUND(I449/Source!I334, 2), 0)</f>
        <v>9658</v>
      </c>
      <c r="P449" s="24">
        <f>I449</f>
        <v>193.16</v>
      </c>
    </row>
    <row r="450" spans="1:22" ht="57" x14ac:dyDescent="0.2">
      <c r="A450" s="18">
        <v>45</v>
      </c>
      <c r="B450" s="18" t="str">
        <f>Source!F336</f>
        <v>1.21-2103-9-2/1</v>
      </c>
      <c r="C450" s="18" t="str">
        <f>Source!G336</f>
        <v>Техническое обслуживание силовых сетей, проложенных по кирпичным и бетонным основаниям, провод сечением 3х1,5-6 мм2</v>
      </c>
      <c r="D450" s="19" t="str">
        <f>Source!H336</f>
        <v>100 м</v>
      </c>
      <c r="E450" s="9">
        <f>Source!I336</f>
        <v>2.8000000000000001E-2</v>
      </c>
      <c r="F450" s="21"/>
      <c r="G450" s="20"/>
      <c r="H450" s="9"/>
      <c r="I450" s="9"/>
      <c r="J450" s="21"/>
      <c r="K450" s="21"/>
      <c r="Q450">
        <f>ROUND((Source!BZ336/100)*ROUND((Source!AF336*Source!AV336)*Source!I336, 2), 2)</f>
        <v>104.92</v>
      </c>
      <c r="R450">
        <f>Source!X336</f>
        <v>104.92</v>
      </c>
      <c r="S450">
        <f>ROUND((Source!CA336/100)*ROUND((Source!AF336*Source!AV336)*Source!I336, 2), 2)</f>
        <v>14.99</v>
      </c>
      <c r="T450">
        <f>Source!Y336</f>
        <v>14.99</v>
      </c>
      <c r="U450">
        <f>ROUND((175/100)*ROUND((Source!AE336*Source!AV336)*Source!I336, 2), 2)</f>
        <v>0</v>
      </c>
      <c r="V450">
        <f>ROUND((108/100)*ROUND(Source!CS336*Source!I336, 2), 2)</f>
        <v>0</v>
      </c>
    </row>
    <row r="451" spans="1:22" x14ac:dyDescent="0.2">
      <c r="C451" s="22" t="str">
        <f>"Объем: "&amp;Source!I336&amp;"=(35*"&amp;"4)*"&amp;"0,2*"&amp;"0,1/"&amp;"100"</f>
        <v>Объем: 0,028=(35*4)*0,2*0,1/100</v>
      </c>
    </row>
    <row r="452" spans="1:22" ht="14.25" x14ac:dyDescent="0.2">
      <c r="A452" s="18"/>
      <c r="B452" s="18"/>
      <c r="C452" s="18" t="s">
        <v>461</v>
      </c>
      <c r="D452" s="19"/>
      <c r="E452" s="9"/>
      <c r="F452" s="21">
        <f>Source!AO336</f>
        <v>5353.15</v>
      </c>
      <c r="G452" s="20" t="str">
        <f>Source!DG336</f>
        <v/>
      </c>
      <c r="H452" s="9">
        <f>Source!AV336</f>
        <v>1</v>
      </c>
      <c r="I452" s="9">
        <f>IF(Source!BA336&lt;&gt; 0, Source!BA336, 1)</f>
        <v>1</v>
      </c>
      <c r="J452" s="21">
        <f>Source!S336</f>
        <v>149.88999999999999</v>
      </c>
      <c r="K452" s="21"/>
    </row>
    <row r="453" spans="1:22" ht="14.25" x14ac:dyDescent="0.2">
      <c r="A453" s="18"/>
      <c r="B453" s="18"/>
      <c r="C453" s="18" t="s">
        <v>464</v>
      </c>
      <c r="D453" s="19"/>
      <c r="E453" s="9"/>
      <c r="F453" s="21">
        <f>Source!AL336</f>
        <v>22.51</v>
      </c>
      <c r="G453" s="20" t="str">
        <f>Source!DD336</f>
        <v/>
      </c>
      <c r="H453" s="9">
        <f>Source!AW336</f>
        <v>1</v>
      </c>
      <c r="I453" s="9">
        <f>IF(Source!BC336&lt;&gt; 0, Source!BC336, 1)</f>
        <v>1</v>
      </c>
      <c r="J453" s="21">
        <f>Source!P336</f>
        <v>0.63</v>
      </c>
      <c r="K453" s="21"/>
    </row>
    <row r="454" spans="1:22" ht="14.25" x14ac:dyDescent="0.2">
      <c r="A454" s="18"/>
      <c r="B454" s="18"/>
      <c r="C454" s="18" t="s">
        <v>465</v>
      </c>
      <c r="D454" s="19" t="s">
        <v>466</v>
      </c>
      <c r="E454" s="9">
        <f>Source!AT336</f>
        <v>70</v>
      </c>
      <c r="F454" s="21"/>
      <c r="G454" s="20"/>
      <c r="H454" s="9"/>
      <c r="I454" s="9"/>
      <c r="J454" s="21">
        <f>SUM(R450:R453)</f>
        <v>104.92</v>
      </c>
      <c r="K454" s="21"/>
    </row>
    <row r="455" spans="1:22" ht="14.25" x14ac:dyDescent="0.2">
      <c r="A455" s="18"/>
      <c r="B455" s="18"/>
      <c r="C455" s="18" t="s">
        <v>467</v>
      </c>
      <c r="D455" s="19" t="s">
        <v>466</v>
      </c>
      <c r="E455" s="9">
        <f>Source!AU336</f>
        <v>10</v>
      </c>
      <c r="F455" s="21"/>
      <c r="G455" s="20"/>
      <c r="H455" s="9"/>
      <c r="I455" s="9"/>
      <c r="J455" s="21">
        <f>SUM(T450:T454)</f>
        <v>14.99</v>
      </c>
      <c r="K455" s="21"/>
    </row>
    <row r="456" spans="1:22" ht="14.25" x14ac:dyDescent="0.2">
      <c r="A456" s="18"/>
      <c r="B456" s="18"/>
      <c r="C456" s="18" t="s">
        <v>469</v>
      </c>
      <c r="D456" s="19" t="s">
        <v>470</v>
      </c>
      <c r="E456" s="9">
        <f>Source!AQ336</f>
        <v>10</v>
      </c>
      <c r="F456" s="21"/>
      <c r="G456" s="20" t="str">
        <f>Source!DI336</f>
        <v/>
      </c>
      <c r="H456" s="9">
        <f>Source!AV336</f>
        <v>1</v>
      </c>
      <c r="I456" s="9"/>
      <c r="J456" s="21"/>
      <c r="K456" s="21">
        <f>Source!U336</f>
        <v>0.28000000000000003</v>
      </c>
    </row>
    <row r="457" spans="1:22" ht="15" x14ac:dyDescent="0.25">
      <c r="A457" s="26"/>
      <c r="B457" s="26"/>
      <c r="C457" s="26"/>
      <c r="D457" s="26"/>
      <c r="E457" s="26"/>
      <c r="F457" s="26"/>
      <c r="G457" s="26"/>
      <c r="H457" s="26"/>
      <c r="I457" s="53">
        <f>J452+J453+J454+J455</f>
        <v>270.43</v>
      </c>
      <c r="J457" s="53"/>
      <c r="K457" s="27">
        <f>IF(Source!I336&lt;&gt;0, ROUND(I457/Source!I336, 2), 0)</f>
        <v>9658.2099999999991</v>
      </c>
      <c r="P457" s="24">
        <f>I457</f>
        <v>270.43</v>
      </c>
    </row>
    <row r="459" spans="1:22" ht="15" x14ac:dyDescent="0.25">
      <c r="A459" s="57" t="str">
        <f>CONCATENATE("Итого по подразделу: ",IF(Source!G339&lt;&gt;"Новый подраздел", Source!G339, ""))</f>
        <v>Итого по подразделу: Электрооборудование</v>
      </c>
      <c r="B459" s="57"/>
      <c r="C459" s="57"/>
      <c r="D459" s="57"/>
      <c r="E459" s="57"/>
      <c r="F459" s="57"/>
      <c r="G459" s="57"/>
      <c r="H459" s="57"/>
      <c r="I459" s="55">
        <f>SUM(P353:P458)</f>
        <v>155588.11000000002</v>
      </c>
      <c r="J459" s="56"/>
      <c r="K459" s="28"/>
    </row>
    <row r="462" spans="1:22" ht="15" x14ac:dyDescent="0.25">
      <c r="A462" s="57" t="str">
        <f>CONCATENATE("Итого по разделу: ",IF(Source!G369&lt;&gt;"Новый раздел", Source!G369, ""))</f>
        <v>Итого по разделу: Туалетный модуль 2 кабины (4 шт.)</v>
      </c>
      <c r="B462" s="57"/>
      <c r="C462" s="57"/>
      <c r="D462" s="57"/>
      <c r="E462" s="57"/>
      <c r="F462" s="57"/>
      <c r="G462" s="57"/>
      <c r="H462" s="57"/>
      <c r="I462" s="55">
        <f>SUM(P248:P461)</f>
        <v>268949.52999999997</v>
      </c>
      <c r="J462" s="56"/>
      <c r="K462" s="28"/>
    </row>
    <row r="465" spans="1:22" ht="16.5" x14ac:dyDescent="0.25">
      <c r="A465" s="54" t="str">
        <f>CONCATENATE("Раздел: ",IF(Source!G399&lt;&gt;"Новый раздел", Source!G399, ""))</f>
        <v>Раздел: Туалетный модуль 2 кабины с сололифтами (1 шт.)</v>
      </c>
      <c r="B465" s="54"/>
      <c r="C465" s="54"/>
      <c r="D465" s="54"/>
      <c r="E465" s="54"/>
      <c r="F465" s="54"/>
      <c r="G465" s="54"/>
      <c r="H465" s="54"/>
      <c r="I465" s="54"/>
      <c r="J465" s="54"/>
      <c r="K465" s="54"/>
    </row>
    <row r="467" spans="1:22" ht="16.5" x14ac:dyDescent="0.25">
      <c r="A467" s="54" t="str">
        <f>CONCATENATE("Подраздел: ",IF(Source!G403&lt;&gt;"Новый подраздел", Source!G403, ""))</f>
        <v>Подраздел: Оборудование водоснабжения и водоотведения</v>
      </c>
      <c r="B467" s="54"/>
      <c r="C467" s="54"/>
      <c r="D467" s="54"/>
      <c r="E467" s="54"/>
      <c r="F467" s="54"/>
      <c r="G467" s="54"/>
      <c r="H467" s="54"/>
      <c r="I467" s="54"/>
      <c r="J467" s="54"/>
      <c r="K467" s="54"/>
    </row>
    <row r="468" spans="1:22" ht="28.5" x14ac:dyDescent="0.2">
      <c r="A468" s="18">
        <v>46</v>
      </c>
      <c r="B468" s="18" t="str">
        <f>Source!F409</f>
        <v>1.16-3201-2-1/1</v>
      </c>
      <c r="C468" s="18" t="str">
        <f>Source!G409</f>
        <v>Укрепление расшатавшихся санитарно-технических приборов - умывальники</v>
      </c>
      <c r="D468" s="19" t="str">
        <f>Source!H409</f>
        <v>100 шт.</v>
      </c>
      <c r="E468" s="9">
        <f>Source!I409</f>
        <v>0.02</v>
      </c>
      <c r="F468" s="21"/>
      <c r="G468" s="20"/>
      <c r="H468" s="9"/>
      <c r="I468" s="9"/>
      <c r="J468" s="21"/>
      <c r="K468" s="21"/>
      <c r="Q468">
        <f>ROUND((Source!BZ409/100)*ROUND((Source!AF409*Source!AV409)*Source!I409, 2), 2)</f>
        <v>741.1</v>
      </c>
      <c r="R468">
        <f>Source!X409</f>
        <v>741.1</v>
      </c>
      <c r="S468">
        <f>ROUND((Source!CA409/100)*ROUND((Source!AF409*Source!AV409)*Source!I409, 2), 2)</f>
        <v>105.87</v>
      </c>
      <c r="T468">
        <f>Source!Y409</f>
        <v>105.87</v>
      </c>
      <c r="U468">
        <f>ROUND((175/100)*ROUND((Source!AE409*Source!AV409)*Source!I409, 2), 2)</f>
        <v>0.02</v>
      </c>
      <c r="V468">
        <f>ROUND((108/100)*ROUND(Source!CS409*Source!I409, 2), 2)</f>
        <v>0.01</v>
      </c>
    </row>
    <row r="469" spans="1:22" x14ac:dyDescent="0.2">
      <c r="C469" s="22" t="str">
        <f>"Объем: "&amp;Source!I409&amp;"=(2*"&amp;"1)/"&amp;"100"</f>
        <v>Объем: 0,02=(2*1)/100</v>
      </c>
    </row>
    <row r="470" spans="1:22" ht="14.25" x14ac:dyDescent="0.2">
      <c r="A470" s="18"/>
      <c r="B470" s="18"/>
      <c r="C470" s="18" t="s">
        <v>461</v>
      </c>
      <c r="D470" s="19"/>
      <c r="E470" s="9"/>
      <c r="F470" s="21">
        <f>Source!AO409</f>
        <v>52935.41</v>
      </c>
      <c r="G470" s="20" t="str">
        <f>Source!DG409</f>
        <v/>
      </c>
      <c r="H470" s="9">
        <f>Source!AV409</f>
        <v>1</v>
      </c>
      <c r="I470" s="9">
        <f>IF(Source!BA409&lt;&gt; 0, Source!BA409, 1)</f>
        <v>1</v>
      </c>
      <c r="J470" s="21">
        <f>Source!S409</f>
        <v>1058.71</v>
      </c>
      <c r="K470" s="21"/>
    </row>
    <row r="471" spans="1:22" ht="14.25" x14ac:dyDescent="0.2">
      <c r="A471" s="18"/>
      <c r="B471" s="18"/>
      <c r="C471" s="18" t="s">
        <v>462</v>
      </c>
      <c r="D471" s="19"/>
      <c r="E471" s="9"/>
      <c r="F471" s="21">
        <f>Source!AM409</f>
        <v>61.83</v>
      </c>
      <c r="G471" s="20" t="str">
        <f>Source!DE409</f>
        <v/>
      </c>
      <c r="H471" s="9">
        <f>Source!AV409</f>
        <v>1</v>
      </c>
      <c r="I471" s="9">
        <f>IF(Source!BB409&lt;&gt; 0, Source!BB409, 1)</f>
        <v>1</v>
      </c>
      <c r="J471" s="21">
        <f>Source!Q409</f>
        <v>1.24</v>
      </c>
      <c r="K471" s="21"/>
    </row>
    <row r="472" spans="1:22" ht="14.25" x14ac:dyDescent="0.2">
      <c r="A472" s="18"/>
      <c r="B472" s="18"/>
      <c r="C472" s="18" t="s">
        <v>463</v>
      </c>
      <c r="D472" s="19"/>
      <c r="E472" s="9"/>
      <c r="F472" s="21">
        <f>Source!AN409</f>
        <v>0.7</v>
      </c>
      <c r="G472" s="20" t="str">
        <f>Source!DF409</f>
        <v/>
      </c>
      <c r="H472" s="9">
        <f>Source!AV409</f>
        <v>1</v>
      </c>
      <c r="I472" s="9">
        <f>IF(Source!BS409&lt;&gt; 0, Source!BS409, 1)</f>
        <v>1</v>
      </c>
      <c r="J472" s="23">
        <f>Source!R409</f>
        <v>0.01</v>
      </c>
      <c r="K472" s="21"/>
    </row>
    <row r="473" spans="1:22" ht="14.25" x14ac:dyDescent="0.2">
      <c r="A473" s="18"/>
      <c r="B473" s="18"/>
      <c r="C473" s="18" t="s">
        <v>464</v>
      </c>
      <c r="D473" s="19"/>
      <c r="E473" s="9"/>
      <c r="F473" s="21">
        <f>Source!AL409</f>
        <v>776.55</v>
      </c>
      <c r="G473" s="20" t="str">
        <f>Source!DD409</f>
        <v/>
      </c>
      <c r="H473" s="9">
        <f>Source!AW409</f>
        <v>1</v>
      </c>
      <c r="I473" s="9">
        <f>IF(Source!BC409&lt;&gt; 0, Source!BC409, 1)</f>
        <v>1</v>
      </c>
      <c r="J473" s="21">
        <f>Source!P409</f>
        <v>15.53</v>
      </c>
      <c r="K473" s="21"/>
    </row>
    <row r="474" spans="1:22" ht="14.25" x14ac:dyDescent="0.2">
      <c r="A474" s="18"/>
      <c r="B474" s="18"/>
      <c r="C474" s="18" t="s">
        <v>465</v>
      </c>
      <c r="D474" s="19" t="s">
        <v>466</v>
      </c>
      <c r="E474" s="9">
        <f>Source!AT409</f>
        <v>70</v>
      </c>
      <c r="F474" s="21"/>
      <c r="G474" s="20"/>
      <c r="H474" s="9"/>
      <c r="I474" s="9"/>
      <c r="J474" s="21">
        <f>SUM(R468:R473)</f>
        <v>741.1</v>
      </c>
      <c r="K474" s="21"/>
    </row>
    <row r="475" spans="1:22" ht="14.25" x14ac:dyDescent="0.2">
      <c r="A475" s="18"/>
      <c r="B475" s="18"/>
      <c r="C475" s="18" t="s">
        <v>467</v>
      </c>
      <c r="D475" s="19" t="s">
        <v>466</v>
      </c>
      <c r="E475" s="9">
        <f>Source!AU409</f>
        <v>10</v>
      </c>
      <c r="F475" s="21"/>
      <c r="G475" s="20"/>
      <c r="H475" s="9"/>
      <c r="I475" s="9"/>
      <c r="J475" s="21">
        <f>SUM(T468:T474)</f>
        <v>105.87</v>
      </c>
      <c r="K475" s="21"/>
    </row>
    <row r="476" spans="1:22" ht="14.25" x14ac:dyDescent="0.2">
      <c r="A476" s="18"/>
      <c r="B476" s="18"/>
      <c r="C476" s="18" t="s">
        <v>468</v>
      </c>
      <c r="D476" s="19" t="s">
        <v>466</v>
      </c>
      <c r="E476" s="9">
        <f>108</f>
        <v>108</v>
      </c>
      <c r="F476" s="21"/>
      <c r="G476" s="20"/>
      <c r="H476" s="9"/>
      <c r="I476" s="9"/>
      <c r="J476" s="21">
        <f>SUM(V468:V475)</f>
        <v>0.01</v>
      </c>
      <c r="K476" s="21"/>
    </row>
    <row r="477" spans="1:22" ht="14.25" x14ac:dyDescent="0.2">
      <c r="A477" s="18"/>
      <c r="B477" s="18"/>
      <c r="C477" s="18" t="s">
        <v>469</v>
      </c>
      <c r="D477" s="19" t="s">
        <v>470</v>
      </c>
      <c r="E477" s="9">
        <f>Source!AQ409</f>
        <v>104.44</v>
      </c>
      <c r="F477" s="21"/>
      <c r="G477" s="20" t="str">
        <f>Source!DI409</f>
        <v/>
      </c>
      <c r="H477" s="9">
        <f>Source!AV409</f>
        <v>1</v>
      </c>
      <c r="I477" s="9"/>
      <c r="J477" s="21"/>
      <c r="K477" s="21">
        <f>Source!U409</f>
        <v>2.0888</v>
      </c>
    </row>
    <row r="478" spans="1:22" ht="15" x14ac:dyDescent="0.25">
      <c r="A478" s="26"/>
      <c r="B478" s="26"/>
      <c r="C478" s="26"/>
      <c r="D478" s="26"/>
      <c r="E478" s="26"/>
      <c r="F478" s="26"/>
      <c r="G478" s="26"/>
      <c r="H478" s="26"/>
      <c r="I478" s="53">
        <f>J470+J471+J473+J474+J475+J476</f>
        <v>1922.4599999999998</v>
      </c>
      <c r="J478" s="53"/>
      <c r="K478" s="27">
        <f>IF(Source!I409&lt;&gt;0, ROUND(I478/Source!I409, 2), 0)</f>
        <v>96123</v>
      </c>
      <c r="P478" s="24">
        <f>I478</f>
        <v>1922.4599999999998</v>
      </c>
    </row>
    <row r="479" spans="1:22" ht="42.75" x14ac:dyDescent="0.2">
      <c r="A479" s="18">
        <v>47</v>
      </c>
      <c r="B479" s="18" t="str">
        <f>Source!F410</f>
        <v>1.16-3201-2-2/1</v>
      </c>
      <c r="C479" s="18" t="str">
        <f>Source!G410</f>
        <v>Укрепление расшатавшихся санитарно-технических приборов - унитазы и биде</v>
      </c>
      <c r="D479" s="19" t="str">
        <f>Source!H410</f>
        <v>100 шт.</v>
      </c>
      <c r="E479" s="9">
        <f>Source!I410</f>
        <v>0.02</v>
      </c>
      <c r="F479" s="21"/>
      <c r="G479" s="20"/>
      <c r="H479" s="9"/>
      <c r="I479" s="9"/>
      <c r="J479" s="21"/>
      <c r="K479" s="21"/>
      <c r="Q479">
        <f>ROUND((Source!BZ410/100)*ROUND((Source!AF410*Source!AV410)*Source!I410, 2), 2)</f>
        <v>1078.08</v>
      </c>
      <c r="R479">
        <f>Source!X410</f>
        <v>1078.08</v>
      </c>
      <c r="S479">
        <f>ROUND((Source!CA410/100)*ROUND((Source!AF410*Source!AV410)*Source!I410, 2), 2)</f>
        <v>154.01</v>
      </c>
      <c r="T479">
        <f>Source!Y410</f>
        <v>154.01</v>
      </c>
      <c r="U479">
        <f>ROUND((175/100)*ROUND((Source!AE410*Source!AV410)*Source!I410, 2), 2)</f>
        <v>0.02</v>
      </c>
      <c r="V479">
        <f>ROUND((108/100)*ROUND(Source!CS410*Source!I410, 2), 2)</f>
        <v>0.01</v>
      </c>
    </row>
    <row r="480" spans="1:22" x14ac:dyDescent="0.2">
      <c r="C480" s="22" t="str">
        <f>"Объем: "&amp;Source!I410&amp;"=(2*"&amp;"1)/"&amp;"100"</f>
        <v>Объем: 0,02=(2*1)/100</v>
      </c>
    </row>
    <row r="481" spans="1:22" ht="14.25" x14ac:dyDescent="0.2">
      <c r="A481" s="18"/>
      <c r="B481" s="18"/>
      <c r="C481" s="18" t="s">
        <v>461</v>
      </c>
      <c r="D481" s="19"/>
      <c r="E481" s="9"/>
      <c r="F481" s="21">
        <f>Source!AO410</f>
        <v>77005.72</v>
      </c>
      <c r="G481" s="20" t="str">
        <f>Source!DG410</f>
        <v/>
      </c>
      <c r="H481" s="9">
        <f>Source!AV410</f>
        <v>1</v>
      </c>
      <c r="I481" s="9">
        <f>IF(Source!BA410&lt;&gt; 0, Source!BA410, 1)</f>
        <v>1</v>
      </c>
      <c r="J481" s="21">
        <f>Source!S410</f>
        <v>1540.11</v>
      </c>
      <c r="K481" s="21"/>
    </row>
    <row r="482" spans="1:22" ht="14.25" x14ac:dyDescent="0.2">
      <c r="A482" s="18"/>
      <c r="B482" s="18"/>
      <c r="C482" s="18" t="s">
        <v>462</v>
      </c>
      <c r="D482" s="19"/>
      <c r="E482" s="9"/>
      <c r="F482" s="21">
        <f>Source!AM410</f>
        <v>61.83</v>
      </c>
      <c r="G482" s="20" t="str">
        <f>Source!DE410</f>
        <v/>
      </c>
      <c r="H482" s="9">
        <f>Source!AV410</f>
        <v>1</v>
      </c>
      <c r="I482" s="9">
        <f>IF(Source!BB410&lt;&gt; 0, Source!BB410, 1)</f>
        <v>1</v>
      </c>
      <c r="J482" s="21">
        <f>Source!Q410</f>
        <v>1.24</v>
      </c>
      <c r="K482" s="21"/>
    </row>
    <row r="483" spans="1:22" ht="14.25" x14ac:dyDescent="0.2">
      <c r="A483" s="18"/>
      <c r="B483" s="18"/>
      <c r="C483" s="18" t="s">
        <v>463</v>
      </c>
      <c r="D483" s="19"/>
      <c r="E483" s="9"/>
      <c r="F483" s="21">
        <f>Source!AN410</f>
        <v>0.7</v>
      </c>
      <c r="G483" s="20" t="str">
        <f>Source!DF410</f>
        <v/>
      </c>
      <c r="H483" s="9">
        <f>Source!AV410</f>
        <v>1</v>
      </c>
      <c r="I483" s="9">
        <f>IF(Source!BS410&lt;&gt; 0, Source!BS410, 1)</f>
        <v>1</v>
      </c>
      <c r="J483" s="23">
        <f>Source!R410</f>
        <v>0.01</v>
      </c>
      <c r="K483" s="21"/>
    </row>
    <row r="484" spans="1:22" ht="14.25" x14ac:dyDescent="0.2">
      <c r="A484" s="18"/>
      <c r="B484" s="18"/>
      <c r="C484" s="18" t="s">
        <v>464</v>
      </c>
      <c r="D484" s="19"/>
      <c r="E484" s="9"/>
      <c r="F484" s="21">
        <f>Source!AL410</f>
        <v>776.55</v>
      </c>
      <c r="G484" s="20" t="str">
        <f>Source!DD410</f>
        <v/>
      </c>
      <c r="H484" s="9">
        <f>Source!AW410</f>
        <v>1</v>
      </c>
      <c r="I484" s="9">
        <f>IF(Source!BC410&lt;&gt; 0, Source!BC410, 1)</f>
        <v>1</v>
      </c>
      <c r="J484" s="21">
        <f>Source!P410</f>
        <v>15.53</v>
      </c>
      <c r="K484" s="21"/>
    </row>
    <row r="485" spans="1:22" ht="14.25" x14ac:dyDescent="0.2">
      <c r="A485" s="18"/>
      <c r="B485" s="18"/>
      <c r="C485" s="18" t="s">
        <v>465</v>
      </c>
      <c r="D485" s="19" t="s">
        <v>466</v>
      </c>
      <c r="E485" s="9">
        <f>Source!AT410</f>
        <v>70</v>
      </c>
      <c r="F485" s="21"/>
      <c r="G485" s="20"/>
      <c r="H485" s="9"/>
      <c r="I485" s="9"/>
      <c r="J485" s="21">
        <f>SUM(R479:R484)</f>
        <v>1078.08</v>
      </c>
      <c r="K485" s="21"/>
    </row>
    <row r="486" spans="1:22" ht="14.25" x14ac:dyDescent="0.2">
      <c r="A486" s="18"/>
      <c r="B486" s="18"/>
      <c r="C486" s="18" t="s">
        <v>467</v>
      </c>
      <c r="D486" s="19" t="s">
        <v>466</v>
      </c>
      <c r="E486" s="9">
        <f>Source!AU410</f>
        <v>10</v>
      </c>
      <c r="F486" s="21"/>
      <c r="G486" s="20"/>
      <c r="H486" s="9"/>
      <c r="I486" s="9"/>
      <c r="J486" s="21">
        <f>SUM(T479:T485)</f>
        <v>154.01</v>
      </c>
      <c r="K486" s="21"/>
    </row>
    <row r="487" spans="1:22" ht="14.25" x14ac:dyDescent="0.2">
      <c r="A487" s="18"/>
      <c r="B487" s="18"/>
      <c r="C487" s="18" t="s">
        <v>468</v>
      </c>
      <c r="D487" s="19" t="s">
        <v>466</v>
      </c>
      <c r="E487" s="9">
        <f>108</f>
        <v>108</v>
      </c>
      <c r="F487" s="21"/>
      <c r="G487" s="20"/>
      <c r="H487" s="9"/>
      <c r="I487" s="9"/>
      <c r="J487" s="21">
        <f>SUM(V479:V486)</f>
        <v>0.01</v>
      </c>
      <c r="K487" s="21"/>
    </row>
    <row r="488" spans="1:22" ht="14.25" x14ac:dyDescent="0.2">
      <c r="A488" s="18"/>
      <c r="B488" s="18"/>
      <c r="C488" s="18" t="s">
        <v>469</v>
      </c>
      <c r="D488" s="19" t="s">
        <v>470</v>
      </c>
      <c r="E488" s="9">
        <f>Source!AQ410</f>
        <v>151.93</v>
      </c>
      <c r="F488" s="21"/>
      <c r="G488" s="20" t="str">
        <f>Source!DI410</f>
        <v/>
      </c>
      <c r="H488" s="9">
        <f>Source!AV410</f>
        <v>1</v>
      </c>
      <c r="I488" s="9"/>
      <c r="J488" s="21"/>
      <c r="K488" s="21">
        <f>Source!U410</f>
        <v>3.0386000000000002</v>
      </c>
    </row>
    <row r="489" spans="1:22" ht="15" x14ac:dyDescent="0.25">
      <c r="A489" s="26"/>
      <c r="B489" s="26"/>
      <c r="C489" s="26"/>
      <c r="D489" s="26"/>
      <c r="E489" s="26"/>
      <c r="F489" s="26"/>
      <c r="G489" s="26"/>
      <c r="H489" s="26"/>
      <c r="I489" s="53">
        <f>J481+J482+J484+J485+J486+J487</f>
        <v>2788.9800000000005</v>
      </c>
      <c r="J489" s="53"/>
      <c r="K489" s="27">
        <f>IF(Source!I410&lt;&gt;0, ROUND(I489/Source!I410, 2), 0)</f>
        <v>139449</v>
      </c>
      <c r="P489" s="24">
        <f>I489</f>
        <v>2788.9800000000005</v>
      </c>
    </row>
    <row r="490" spans="1:22" ht="42.75" x14ac:dyDescent="0.2">
      <c r="A490" s="18">
        <v>48</v>
      </c>
      <c r="B490" s="18" t="str">
        <f>Source!F412</f>
        <v>1.23-2103-41-1/1</v>
      </c>
      <c r="C490" s="18" t="str">
        <f>Source!G412</f>
        <v>Техническое обслуживание регулирующего клапана / Смеситель для раковины</v>
      </c>
      <c r="D490" s="19" t="str">
        <f>Source!H412</f>
        <v>шт.</v>
      </c>
      <c r="E490" s="9">
        <f>Source!I412</f>
        <v>2</v>
      </c>
      <c r="F490" s="21"/>
      <c r="G490" s="20"/>
      <c r="H490" s="9"/>
      <c r="I490" s="9"/>
      <c r="J490" s="21"/>
      <c r="K490" s="21"/>
      <c r="Q490">
        <f>ROUND((Source!BZ412/100)*ROUND((Source!AF412*Source!AV412)*Source!I412, 2), 2)</f>
        <v>291.2</v>
      </c>
      <c r="R490">
        <f>Source!X412</f>
        <v>291.2</v>
      </c>
      <c r="S490">
        <f>ROUND((Source!CA412/100)*ROUND((Source!AF412*Source!AV412)*Source!I412, 2), 2)</f>
        <v>41.6</v>
      </c>
      <c r="T490">
        <f>Source!Y412</f>
        <v>41.6</v>
      </c>
      <c r="U490">
        <f>ROUND((175/100)*ROUND((Source!AE412*Source!AV412)*Source!I412, 2), 2)</f>
        <v>173.5</v>
      </c>
      <c r="V490">
        <f>ROUND((108/100)*ROUND(Source!CS412*Source!I412, 2), 2)</f>
        <v>107.07</v>
      </c>
    </row>
    <row r="491" spans="1:22" x14ac:dyDescent="0.2">
      <c r="C491" s="22" t="str">
        <f>"Объем: "&amp;Source!I412&amp;"=(2)*"&amp;"1"</f>
        <v>Объем: 2=(2)*1</v>
      </c>
    </row>
    <row r="492" spans="1:22" ht="14.25" x14ac:dyDescent="0.2">
      <c r="A492" s="18"/>
      <c r="B492" s="18"/>
      <c r="C492" s="18" t="s">
        <v>461</v>
      </c>
      <c r="D492" s="19"/>
      <c r="E492" s="9"/>
      <c r="F492" s="21">
        <f>Source!AO412</f>
        <v>208</v>
      </c>
      <c r="G492" s="20" t="str">
        <f>Source!DG412</f>
        <v/>
      </c>
      <c r="H492" s="9">
        <f>Source!AV412</f>
        <v>1</v>
      </c>
      <c r="I492" s="9">
        <f>IF(Source!BA412&lt;&gt; 0, Source!BA412, 1)</f>
        <v>1</v>
      </c>
      <c r="J492" s="21">
        <f>Source!S412</f>
        <v>416</v>
      </c>
      <c r="K492" s="21"/>
    </row>
    <row r="493" spans="1:22" ht="14.25" x14ac:dyDescent="0.2">
      <c r="A493" s="18"/>
      <c r="B493" s="18"/>
      <c r="C493" s="18" t="s">
        <v>462</v>
      </c>
      <c r="D493" s="19"/>
      <c r="E493" s="9"/>
      <c r="F493" s="21">
        <f>Source!AM412</f>
        <v>78.180000000000007</v>
      </c>
      <c r="G493" s="20" t="str">
        <f>Source!DE412</f>
        <v/>
      </c>
      <c r="H493" s="9">
        <f>Source!AV412</f>
        <v>1</v>
      </c>
      <c r="I493" s="9">
        <f>IF(Source!BB412&lt;&gt; 0, Source!BB412, 1)</f>
        <v>1</v>
      </c>
      <c r="J493" s="21">
        <f>Source!Q412</f>
        <v>156.36000000000001</v>
      </c>
      <c r="K493" s="21"/>
    </row>
    <row r="494" spans="1:22" ht="14.25" x14ac:dyDescent="0.2">
      <c r="A494" s="18"/>
      <c r="B494" s="18"/>
      <c r="C494" s="18" t="s">
        <v>463</v>
      </c>
      <c r="D494" s="19"/>
      <c r="E494" s="9"/>
      <c r="F494" s="21">
        <f>Source!AN412</f>
        <v>49.57</v>
      </c>
      <c r="G494" s="20" t="str">
        <f>Source!DF412</f>
        <v/>
      </c>
      <c r="H494" s="9">
        <f>Source!AV412</f>
        <v>1</v>
      </c>
      <c r="I494" s="9">
        <f>IF(Source!BS412&lt;&gt; 0, Source!BS412, 1)</f>
        <v>1</v>
      </c>
      <c r="J494" s="23">
        <f>Source!R412</f>
        <v>99.14</v>
      </c>
      <c r="K494" s="21"/>
    </row>
    <row r="495" spans="1:22" ht="14.25" x14ac:dyDescent="0.2">
      <c r="A495" s="18"/>
      <c r="B495" s="18"/>
      <c r="C495" s="18" t="s">
        <v>465</v>
      </c>
      <c r="D495" s="19" t="s">
        <v>466</v>
      </c>
      <c r="E495" s="9">
        <f>Source!AT412</f>
        <v>70</v>
      </c>
      <c r="F495" s="21"/>
      <c r="G495" s="20"/>
      <c r="H495" s="9"/>
      <c r="I495" s="9"/>
      <c r="J495" s="21">
        <f>SUM(R490:R494)</f>
        <v>291.2</v>
      </c>
      <c r="K495" s="21"/>
    </row>
    <row r="496" spans="1:22" ht="14.25" x14ac:dyDescent="0.2">
      <c r="A496" s="18"/>
      <c r="B496" s="18"/>
      <c r="C496" s="18" t="s">
        <v>467</v>
      </c>
      <c r="D496" s="19" t="s">
        <v>466</v>
      </c>
      <c r="E496" s="9">
        <f>Source!AU412</f>
        <v>10</v>
      </c>
      <c r="F496" s="21"/>
      <c r="G496" s="20"/>
      <c r="H496" s="9"/>
      <c r="I496" s="9"/>
      <c r="J496" s="21">
        <f>SUM(T490:T495)</f>
        <v>41.6</v>
      </c>
      <c r="K496" s="21"/>
    </row>
    <row r="497" spans="1:22" ht="14.25" x14ac:dyDescent="0.2">
      <c r="A497" s="18"/>
      <c r="B497" s="18"/>
      <c r="C497" s="18" t="s">
        <v>468</v>
      </c>
      <c r="D497" s="19" t="s">
        <v>466</v>
      </c>
      <c r="E497" s="9">
        <f>108</f>
        <v>108</v>
      </c>
      <c r="F497" s="21"/>
      <c r="G497" s="20"/>
      <c r="H497" s="9"/>
      <c r="I497" s="9"/>
      <c r="J497" s="21">
        <f>SUM(V490:V496)</f>
        <v>107.07</v>
      </c>
      <c r="K497" s="21"/>
    </row>
    <row r="498" spans="1:22" ht="14.25" x14ac:dyDescent="0.2">
      <c r="A498" s="18"/>
      <c r="B498" s="18"/>
      <c r="C498" s="18" t="s">
        <v>469</v>
      </c>
      <c r="D498" s="19" t="s">
        <v>470</v>
      </c>
      <c r="E498" s="9">
        <f>Source!AQ412</f>
        <v>0.37</v>
      </c>
      <c r="F498" s="21"/>
      <c r="G498" s="20" t="str">
        <f>Source!DI412</f>
        <v/>
      </c>
      <c r="H498" s="9">
        <f>Source!AV412</f>
        <v>1</v>
      </c>
      <c r="I498" s="9"/>
      <c r="J498" s="21"/>
      <c r="K498" s="21">
        <f>Source!U412</f>
        <v>0.74</v>
      </c>
    </row>
    <row r="499" spans="1:22" ht="15" x14ac:dyDescent="0.25">
      <c r="A499" s="26"/>
      <c r="B499" s="26"/>
      <c r="C499" s="26"/>
      <c r="D499" s="26"/>
      <c r="E499" s="26"/>
      <c r="F499" s="26"/>
      <c r="G499" s="26"/>
      <c r="H499" s="26"/>
      <c r="I499" s="53">
        <f>J492+J493+J495+J496+J497</f>
        <v>1012.23</v>
      </c>
      <c r="J499" s="53"/>
      <c r="K499" s="27">
        <f>IF(Source!I412&lt;&gt;0, ROUND(I499/Source!I412, 2), 0)</f>
        <v>506.12</v>
      </c>
      <c r="P499" s="24">
        <f>I499</f>
        <v>1012.23</v>
      </c>
    </row>
    <row r="500" spans="1:22" ht="28.5" x14ac:dyDescent="0.2">
      <c r="A500" s="18">
        <v>49</v>
      </c>
      <c r="B500" s="18" t="str">
        <f>Source!F413</f>
        <v>1.16-3201-1-1/1</v>
      </c>
      <c r="C500" s="18" t="str">
        <f>Source!G413</f>
        <v>Регулировка смывного бачка</v>
      </c>
      <c r="D500" s="19" t="str">
        <f>Source!H413</f>
        <v>100 приборов</v>
      </c>
      <c r="E500" s="9">
        <f>Source!I413</f>
        <v>0.02</v>
      </c>
      <c r="F500" s="21"/>
      <c r="G500" s="20"/>
      <c r="H500" s="9"/>
      <c r="I500" s="9"/>
      <c r="J500" s="21"/>
      <c r="K500" s="21"/>
      <c r="Q500">
        <f>ROUND((Source!BZ413/100)*ROUND((Source!AF413*Source!AV413)*Source!I413, 2), 2)</f>
        <v>222.54</v>
      </c>
      <c r="R500">
        <f>Source!X413</f>
        <v>222.54</v>
      </c>
      <c r="S500">
        <f>ROUND((Source!CA413/100)*ROUND((Source!AF413*Source!AV413)*Source!I413, 2), 2)</f>
        <v>31.79</v>
      </c>
      <c r="T500">
        <f>Source!Y413</f>
        <v>31.79</v>
      </c>
      <c r="U500">
        <f>ROUND((175/100)*ROUND((Source!AE413*Source!AV413)*Source!I413, 2), 2)</f>
        <v>0</v>
      </c>
      <c r="V500">
        <f>ROUND((108/100)*ROUND(Source!CS413*Source!I413, 2), 2)</f>
        <v>0</v>
      </c>
    </row>
    <row r="501" spans="1:22" x14ac:dyDescent="0.2">
      <c r="C501" s="22" t="str">
        <f>"Объем: "&amp;Source!I413&amp;"=2*"&amp;"1/"&amp;"100"</f>
        <v>Объем: 0,02=2*1/100</v>
      </c>
    </row>
    <row r="502" spans="1:22" ht="14.25" x14ac:dyDescent="0.2">
      <c r="A502" s="18"/>
      <c r="B502" s="18"/>
      <c r="C502" s="18" t="s">
        <v>461</v>
      </c>
      <c r="D502" s="19"/>
      <c r="E502" s="9"/>
      <c r="F502" s="21">
        <f>Source!AO413</f>
        <v>15896.11</v>
      </c>
      <c r="G502" s="20" t="str">
        <f>Source!DG413</f>
        <v/>
      </c>
      <c r="H502" s="9">
        <f>Source!AV413</f>
        <v>1</v>
      </c>
      <c r="I502" s="9">
        <f>IF(Source!BA413&lt;&gt; 0, Source!BA413, 1)</f>
        <v>1</v>
      </c>
      <c r="J502" s="21">
        <f>Source!S413</f>
        <v>317.92</v>
      </c>
      <c r="K502" s="21"/>
    </row>
    <row r="503" spans="1:22" ht="14.25" x14ac:dyDescent="0.2">
      <c r="A503" s="18"/>
      <c r="B503" s="18"/>
      <c r="C503" s="18" t="s">
        <v>465</v>
      </c>
      <c r="D503" s="19" t="s">
        <v>466</v>
      </c>
      <c r="E503" s="9">
        <f>Source!AT413</f>
        <v>70</v>
      </c>
      <c r="F503" s="21"/>
      <c r="G503" s="20"/>
      <c r="H503" s="9"/>
      <c r="I503" s="9"/>
      <c r="J503" s="21">
        <f>SUM(R500:R502)</f>
        <v>222.54</v>
      </c>
      <c r="K503" s="21"/>
    </row>
    <row r="504" spans="1:22" ht="14.25" x14ac:dyDescent="0.2">
      <c r="A504" s="18"/>
      <c r="B504" s="18"/>
      <c r="C504" s="18" t="s">
        <v>467</v>
      </c>
      <c r="D504" s="19" t="s">
        <v>466</v>
      </c>
      <c r="E504" s="9">
        <f>Source!AU413</f>
        <v>10</v>
      </c>
      <c r="F504" s="21"/>
      <c r="G504" s="20"/>
      <c r="H504" s="9"/>
      <c r="I504" s="9"/>
      <c r="J504" s="21">
        <f>SUM(T500:T503)</f>
        <v>31.79</v>
      </c>
      <c r="K504" s="21"/>
    </row>
    <row r="505" spans="1:22" ht="14.25" x14ac:dyDescent="0.2">
      <c r="A505" s="18"/>
      <c r="B505" s="18"/>
      <c r="C505" s="18" t="s">
        <v>469</v>
      </c>
      <c r="D505" s="19" t="s">
        <v>470</v>
      </c>
      <c r="E505" s="9">
        <f>Source!AQ413</f>
        <v>26.7</v>
      </c>
      <c r="F505" s="21"/>
      <c r="G505" s="20" t="str">
        <f>Source!DI413</f>
        <v/>
      </c>
      <c r="H505" s="9">
        <f>Source!AV413</f>
        <v>1</v>
      </c>
      <c r="I505" s="9"/>
      <c r="J505" s="21"/>
      <c r="K505" s="21">
        <f>Source!U413</f>
        <v>0.53400000000000003</v>
      </c>
    </row>
    <row r="506" spans="1:22" ht="15" x14ac:dyDescent="0.25">
      <c r="A506" s="26"/>
      <c r="B506" s="26"/>
      <c r="C506" s="26"/>
      <c r="D506" s="26"/>
      <c r="E506" s="26"/>
      <c r="F506" s="26"/>
      <c r="G506" s="26"/>
      <c r="H506" s="26"/>
      <c r="I506" s="53">
        <f>J502+J503+J504</f>
        <v>572.25</v>
      </c>
      <c r="J506" s="53"/>
      <c r="K506" s="27">
        <f>IF(Source!I413&lt;&gt;0, ROUND(I506/Source!I413, 2), 0)</f>
        <v>28612.5</v>
      </c>
      <c r="P506" s="24">
        <f>I506</f>
        <v>572.25</v>
      </c>
    </row>
    <row r="507" spans="1:22" ht="14.25" x14ac:dyDescent="0.2">
      <c r="A507" s="18">
        <v>50</v>
      </c>
      <c r="B507" s="18" t="str">
        <f>Source!F414</f>
        <v>1.16-2203-1-1/1</v>
      </c>
      <c r="C507" s="18" t="str">
        <f>Source!G414</f>
        <v>Прочистка сифонов</v>
      </c>
      <c r="D507" s="19" t="str">
        <f>Source!H414</f>
        <v>100 шт.</v>
      </c>
      <c r="E507" s="9">
        <f>Source!I414</f>
        <v>0.02</v>
      </c>
      <c r="F507" s="21"/>
      <c r="G507" s="20"/>
      <c r="H507" s="9"/>
      <c r="I507" s="9"/>
      <c r="J507" s="21"/>
      <c r="K507" s="21"/>
      <c r="Q507">
        <f>ROUND((Source!BZ414/100)*ROUND((Source!AF414*Source!AV414)*Source!I414, 2), 2)</f>
        <v>198.83</v>
      </c>
      <c r="R507">
        <f>Source!X414</f>
        <v>198.83</v>
      </c>
      <c r="S507">
        <f>ROUND((Source!CA414/100)*ROUND((Source!AF414*Source!AV414)*Source!I414, 2), 2)</f>
        <v>28.4</v>
      </c>
      <c r="T507">
        <f>Source!Y414</f>
        <v>28.4</v>
      </c>
      <c r="U507">
        <f>ROUND((175/100)*ROUND((Source!AE414*Source!AV414)*Source!I414, 2), 2)</f>
        <v>0</v>
      </c>
      <c r="V507">
        <f>ROUND((108/100)*ROUND(Source!CS414*Source!I414, 2), 2)</f>
        <v>0</v>
      </c>
    </row>
    <row r="508" spans="1:22" x14ac:dyDescent="0.2">
      <c r="C508" s="22" t="str">
        <f>"Объем: "&amp;Source!I414&amp;"=2*"&amp;"1/"&amp;"100"</f>
        <v>Объем: 0,02=2*1/100</v>
      </c>
    </row>
    <row r="509" spans="1:22" ht="14.25" x14ac:dyDescent="0.2">
      <c r="A509" s="18"/>
      <c r="B509" s="18"/>
      <c r="C509" s="18" t="s">
        <v>461</v>
      </c>
      <c r="D509" s="19"/>
      <c r="E509" s="9"/>
      <c r="F509" s="21">
        <f>Source!AO414</f>
        <v>14201.94</v>
      </c>
      <c r="G509" s="20" t="str">
        <f>Source!DG414</f>
        <v/>
      </c>
      <c r="H509" s="9">
        <f>Source!AV414</f>
        <v>1</v>
      </c>
      <c r="I509" s="9">
        <f>IF(Source!BA414&lt;&gt; 0, Source!BA414, 1)</f>
        <v>1</v>
      </c>
      <c r="J509" s="21">
        <f>Source!S414</f>
        <v>284.04000000000002</v>
      </c>
      <c r="K509" s="21"/>
    </row>
    <row r="510" spans="1:22" ht="14.25" x14ac:dyDescent="0.2">
      <c r="A510" s="18"/>
      <c r="B510" s="18"/>
      <c r="C510" s="18" t="s">
        <v>464</v>
      </c>
      <c r="D510" s="19"/>
      <c r="E510" s="9"/>
      <c r="F510" s="21">
        <f>Source!AL414</f>
        <v>243.57</v>
      </c>
      <c r="G510" s="20" t="str">
        <f>Source!DD414</f>
        <v/>
      </c>
      <c r="H510" s="9">
        <f>Source!AW414</f>
        <v>1</v>
      </c>
      <c r="I510" s="9">
        <f>IF(Source!BC414&lt;&gt; 0, Source!BC414, 1)</f>
        <v>1</v>
      </c>
      <c r="J510" s="21">
        <f>Source!P414</f>
        <v>4.87</v>
      </c>
      <c r="K510" s="21"/>
    </row>
    <row r="511" spans="1:22" ht="14.25" x14ac:dyDescent="0.2">
      <c r="A511" s="18"/>
      <c r="B511" s="18"/>
      <c r="C511" s="18" t="s">
        <v>465</v>
      </c>
      <c r="D511" s="19" t="s">
        <v>466</v>
      </c>
      <c r="E511" s="9">
        <f>Source!AT414</f>
        <v>70</v>
      </c>
      <c r="F511" s="21"/>
      <c r="G511" s="20"/>
      <c r="H511" s="9"/>
      <c r="I511" s="9"/>
      <c r="J511" s="21">
        <f>SUM(R507:R510)</f>
        <v>198.83</v>
      </c>
      <c r="K511" s="21"/>
    </row>
    <row r="512" spans="1:22" ht="14.25" x14ac:dyDescent="0.2">
      <c r="A512" s="18"/>
      <c r="B512" s="18"/>
      <c r="C512" s="18" t="s">
        <v>467</v>
      </c>
      <c r="D512" s="19" t="s">
        <v>466</v>
      </c>
      <c r="E512" s="9">
        <f>Source!AU414</f>
        <v>10</v>
      </c>
      <c r="F512" s="21"/>
      <c r="G512" s="20"/>
      <c r="H512" s="9"/>
      <c r="I512" s="9"/>
      <c r="J512" s="21">
        <f>SUM(T507:T511)</f>
        <v>28.4</v>
      </c>
      <c r="K512" s="21"/>
    </row>
    <row r="513" spans="1:22" ht="14.25" x14ac:dyDescent="0.2">
      <c r="A513" s="18"/>
      <c r="B513" s="18"/>
      <c r="C513" s="18" t="s">
        <v>469</v>
      </c>
      <c r="D513" s="19" t="s">
        <v>470</v>
      </c>
      <c r="E513" s="9">
        <f>Source!AQ414</f>
        <v>28.02</v>
      </c>
      <c r="F513" s="21"/>
      <c r="G513" s="20" t="str">
        <f>Source!DI414</f>
        <v/>
      </c>
      <c r="H513" s="9">
        <f>Source!AV414</f>
        <v>1</v>
      </c>
      <c r="I513" s="9"/>
      <c r="J513" s="21"/>
      <c r="K513" s="21">
        <f>Source!U414</f>
        <v>0.56040000000000001</v>
      </c>
    </row>
    <row r="514" spans="1:22" ht="15" x14ac:dyDescent="0.25">
      <c r="A514" s="26"/>
      <c r="B514" s="26"/>
      <c r="C514" s="26"/>
      <c r="D514" s="26"/>
      <c r="E514" s="26"/>
      <c r="F514" s="26"/>
      <c r="G514" s="26"/>
      <c r="H514" s="26"/>
      <c r="I514" s="53">
        <f>J509+J510+J511+J512</f>
        <v>516.14</v>
      </c>
      <c r="J514" s="53"/>
      <c r="K514" s="27">
        <f>IF(Source!I414&lt;&gt;0, ROUND(I514/Source!I414, 2), 0)</f>
        <v>25807</v>
      </c>
      <c r="P514" s="24">
        <f>I514</f>
        <v>516.14</v>
      </c>
    </row>
    <row r="515" spans="1:22" ht="28.5" x14ac:dyDescent="0.2">
      <c r="A515" s="18">
        <v>51</v>
      </c>
      <c r="B515" s="18" t="str">
        <f>Source!F417</f>
        <v>1.15-2303-4-1/1</v>
      </c>
      <c r="C515" s="18" t="str">
        <f>Source!G417</f>
        <v>Прочистка сетчатых фильтров грубой очистки воды диаметром до 25 мм</v>
      </c>
      <c r="D515" s="19" t="str">
        <f>Source!H417</f>
        <v>10 шт.</v>
      </c>
      <c r="E515" s="9">
        <f>Source!I417</f>
        <v>0.2</v>
      </c>
      <c r="F515" s="21"/>
      <c r="G515" s="20"/>
      <c r="H515" s="9"/>
      <c r="I515" s="9"/>
      <c r="J515" s="21"/>
      <c r="K515" s="21"/>
      <c r="Q515">
        <f>ROUND((Source!BZ417/100)*ROUND((Source!AF417*Source!AV417)*Source!I417, 2), 2)</f>
        <v>176.36</v>
      </c>
      <c r="R515">
        <f>Source!X417</f>
        <v>176.36</v>
      </c>
      <c r="S515">
        <f>ROUND((Source!CA417/100)*ROUND((Source!AF417*Source!AV417)*Source!I417, 2), 2)</f>
        <v>25.19</v>
      </c>
      <c r="T515">
        <f>Source!Y417</f>
        <v>25.19</v>
      </c>
      <c r="U515">
        <f>ROUND((175/100)*ROUND((Source!AE417*Source!AV417)*Source!I417, 2), 2)</f>
        <v>0</v>
      </c>
      <c r="V515">
        <f>ROUND((108/100)*ROUND(Source!CS417*Source!I417, 2), 2)</f>
        <v>0</v>
      </c>
    </row>
    <row r="516" spans="1:22" x14ac:dyDescent="0.2">
      <c r="C516" s="22" t="str">
        <f>"Объем: "&amp;Source!I417&amp;"=2*"&amp;"1/"&amp;"10"</f>
        <v>Объем: 0,2=2*1/10</v>
      </c>
    </row>
    <row r="517" spans="1:22" ht="14.25" x14ac:dyDescent="0.2">
      <c r="A517" s="18"/>
      <c r="B517" s="18"/>
      <c r="C517" s="18" t="s">
        <v>461</v>
      </c>
      <c r="D517" s="19"/>
      <c r="E517" s="9"/>
      <c r="F517" s="21">
        <f>Source!AO417</f>
        <v>1259.68</v>
      </c>
      <c r="G517" s="20" t="str">
        <f>Source!DG417</f>
        <v/>
      </c>
      <c r="H517" s="9">
        <f>Source!AV417</f>
        <v>1</v>
      </c>
      <c r="I517" s="9">
        <f>IF(Source!BA417&lt;&gt; 0, Source!BA417, 1)</f>
        <v>1</v>
      </c>
      <c r="J517" s="21">
        <f>Source!S417</f>
        <v>251.94</v>
      </c>
      <c r="K517" s="21"/>
    </row>
    <row r="518" spans="1:22" ht="14.25" x14ac:dyDescent="0.2">
      <c r="A518" s="18"/>
      <c r="B518" s="18"/>
      <c r="C518" s="18" t="s">
        <v>465</v>
      </c>
      <c r="D518" s="19" t="s">
        <v>466</v>
      </c>
      <c r="E518" s="9">
        <f>Source!AT417</f>
        <v>70</v>
      </c>
      <c r="F518" s="21"/>
      <c r="G518" s="20"/>
      <c r="H518" s="9"/>
      <c r="I518" s="9"/>
      <c r="J518" s="21">
        <f>SUM(R515:R517)</f>
        <v>176.36</v>
      </c>
      <c r="K518" s="21"/>
    </row>
    <row r="519" spans="1:22" ht="14.25" x14ac:dyDescent="0.2">
      <c r="A519" s="18"/>
      <c r="B519" s="18"/>
      <c r="C519" s="18" t="s">
        <v>467</v>
      </c>
      <c r="D519" s="19" t="s">
        <v>466</v>
      </c>
      <c r="E519" s="9">
        <f>Source!AU417</f>
        <v>10</v>
      </c>
      <c r="F519" s="21"/>
      <c r="G519" s="20"/>
      <c r="H519" s="9"/>
      <c r="I519" s="9"/>
      <c r="J519" s="21">
        <f>SUM(T515:T518)</f>
        <v>25.19</v>
      </c>
      <c r="K519" s="21"/>
    </row>
    <row r="520" spans="1:22" ht="14.25" x14ac:dyDescent="0.2">
      <c r="A520" s="18"/>
      <c r="B520" s="18"/>
      <c r="C520" s="18" t="s">
        <v>469</v>
      </c>
      <c r="D520" s="19" t="s">
        <v>470</v>
      </c>
      <c r="E520" s="9">
        <f>Source!AQ417</f>
        <v>2.04</v>
      </c>
      <c r="F520" s="21"/>
      <c r="G520" s="20" t="str">
        <f>Source!DI417</f>
        <v/>
      </c>
      <c r="H520" s="9">
        <f>Source!AV417</f>
        <v>1</v>
      </c>
      <c r="I520" s="9"/>
      <c r="J520" s="21"/>
      <c r="K520" s="21">
        <f>Source!U417</f>
        <v>0.40800000000000003</v>
      </c>
    </row>
    <row r="521" spans="1:22" ht="15" x14ac:dyDescent="0.25">
      <c r="A521" s="26"/>
      <c r="B521" s="26"/>
      <c r="C521" s="26"/>
      <c r="D521" s="26"/>
      <c r="E521" s="26"/>
      <c r="F521" s="26"/>
      <c r="G521" s="26"/>
      <c r="H521" s="26"/>
      <c r="I521" s="53">
        <f>J517+J518+J519</f>
        <v>453.49</v>
      </c>
      <c r="J521" s="53"/>
      <c r="K521" s="27">
        <f>IF(Source!I417&lt;&gt;0, ROUND(I521/Source!I417, 2), 0)</f>
        <v>2267.4499999999998</v>
      </c>
      <c r="P521" s="24">
        <f>I521</f>
        <v>453.49</v>
      </c>
    </row>
    <row r="523" spans="1:22" ht="15" x14ac:dyDescent="0.25">
      <c r="A523" s="57" t="str">
        <f>CONCATENATE("Итого по подразделу: ",IF(Source!G426&lt;&gt;"Новый подраздел", Source!G426, ""))</f>
        <v>Итого по подразделу: Оборудование водоснабжения и водоотведения</v>
      </c>
      <c r="B523" s="57"/>
      <c r="C523" s="57"/>
      <c r="D523" s="57"/>
      <c r="E523" s="57"/>
      <c r="F523" s="57"/>
      <c r="G523" s="57"/>
      <c r="H523" s="57"/>
      <c r="I523" s="55">
        <f>SUM(P467:P522)</f>
        <v>7265.55</v>
      </c>
      <c r="J523" s="56"/>
      <c r="K523" s="28"/>
    </row>
    <row r="526" spans="1:22" ht="16.5" x14ac:dyDescent="0.25">
      <c r="A526" s="54" t="str">
        <f>CONCATENATE("Подраздел: ",IF(Source!G456&lt;&gt;"Новый подраздел", Source!G456, ""))</f>
        <v>Подраздел: Техническое помещение общее на модуль</v>
      </c>
      <c r="B526" s="54"/>
      <c r="C526" s="54"/>
      <c r="D526" s="54"/>
      <c r="E526" s="54"/>
      <c r="F526" s="54"/>
      <c r="G526" s="54"/>
      <c r="H526" s="54"/>
      <c r="I526" s="54"/>
      <c r="J526" s="54"/>
      <c r="K526" s="54"/>
    </row>
    <row r="527" spans="1:22" ht="42.75" x14ac:dyDescent="0.2">
      <c r="A527" s="18">
        <v>52</v>
      </c>
      <c r="B527" s="18" t="str">
        <f>Source!F460</f>
        <v>1.21-2303-24-1/1</v>
      </c>
      <c r="C527" s="18" t="str">
        <f>Source!G460</f>
        <v>Техническое обслуживание электроводонагревателей объемом до 80 литров</v>
      </c>
      <c r="D527" s="19" t="str">
        <f>Source!H460</f>
        <v>шт.</v>
      </c>
      <c r="E527" s="9">
        <f>Source!I460</f>
        <v>1</v>
      </c>
      <c r="F527" s="21"/>
      <c r="G527" s="20"/>
      <c r="H527" s="9"/>
      <c r="I527" s="9"/>
      <c r="J527" s="21"/>
      <c r="K527" s="21"/>
      <c r="Q527">
        <f>ROUND((Source!BZ460/100)*ROUND((Source!AF460*Source!AV460)*Source!I460, 2), 2)</f>
        <v>870.82</v>
      </c>
      <c r="R527">
        <f>Source!X460</f>
        <v>870.82</v>
      </c>
      <c r="S527">
        <f>ROUND((Source!CA460/100)*ROUND((Source!AF460*Source!AV460)*Source!I460, 2), 2)</f>
        <v>124.4</v>
      </c>
      <c r="T527">
        <f>Source!Y460</f>
        <v>124.4</v>
      </c>
      <c r="U527">
        <f>ROUND((175/100)*ROUND((Source!AE460*Source!AV460)*Source!I460, 2), 2)</f>
        <v>1565.85</v>
      </c>
      <c r="V527">
        <f>ROUND((108/100)*ROUND(Source!CS460*Source!I460, 2), 2)</f>
        <v>966.35</v>
      </c>
    </row>
    <row r="528" spans="1:22" x14ac:dyDescent="0.2">
      <c r="C528" s="22" t="str">
        <f>"Объем: "&amp;Source!I460&amp;"=1*"&amp;"1"</f>
        <v>Объем: 1=1*1</v>
      </c>
    </row>
    <row r="529" spans="1:22" ht="14.25" x14ac:dyDescent="0.2">
      <c r="A529" s="18"/>
      <c r="B529" s="18"/>
      <c r="C529" s="18" t="s">
        <v>461</v>
      </c>
      <c r="D529" s="19"/>
      <c r="E529" s="9"/>
      <c r="F529" s="21">
        <f>Source!AO460</f>
        <v>1244.03</v>
      </c>
      <c r="G529" s="20" t="str">
        <f>Source!DG460</f>
        <v/>
      </c>
      <c r="H529" s="9">
        <f>Source!AV460</f>
        <v>1</v>
      </c>
      <c r="I529" s="9">
        <f>IF(Source!BA460&lt;&gt; 0, Source!BA460, 1)</f>
        <v>1</v>
      </c>
      <c r="J529" s="21">
        <f>Source!S460</f>
        <v>1244.03</v>
      </c>
      <c r="K529" s="21"/>
    </row>
    <row r="530" spans="1:22" ht="14.25" x14ac:dyDescent="0.2">
      <c r="A530" s="18"/>
      <c r="B530" s="18"/>
      <c r="C530" s="18" t="s">
        <v>462</v>
      </c>
      <c r="D530" s="19"/>
      <c r="E530" s="9"/>
      <c r="F530" s="21">
        <f>Source!AM460</f>
        <v>1411.16</v>
      </c>
      <c r="G530" s="20" t="str">
        <f>Source!DE460</f>
        <v/>
      </c>
      <c r="H530" s="9">
        <f>Source!AV460</f>
        <v>1</v>
      </c>
      <c r="I530" s="9">
        <f>IF(Source!BB460&lt;&gt; 0, Source!BB460, 1)</f>
        <v>1</v>
      </c>
      <c r="J530" s="21">
        <f>Source!Q460</f>
        <v>1411.16</v>
      </c>
      <c r="K530" s="21"/>
    </row>
    <row r="531" spans="1:22" ht="14.25" x14ac:dyDescent="0.2">
      <c r="A531" s="18"/>
      <c r="B531" s="18"/>
      <c r="C531" s="18" t="s">
        <v>463</v>
      </c>
      <c r="D531" s="19"/>
      <c r="E531" s="9"/>
      <c r="F531" s="21">
        <f>Source!AN460</f>
        <v>894.77</v>
      </c>
      <c r="G531" s="20" t="str">
        <f>Source!DF460</f>
        <v/>
      </c>
      <c r="H531" s="9">
        <f>Source!AV460</f>
        <v>1</v>
      </c>
      <c r="I531" s="9">
        <f>IF(Source!BS460&lt;&gt; 0, Source!BS460, 1)</f>
        <v>1</v>
      </c>
      <c r="J531" s="23">
        <f>Source!R460</f>
        <v>894.77</v>
      </c>
      <c r="K531" s="21"/>
    </row>
    <row r="532" spans="1:22" ht="14.25" x14ac:dyDescent="0.2">
      <c r="A532" s="18"/>
      <c r="B532" s="18"/>
      <c r="C532" s="18" t="s">
        <v>464</v>
      </c>
      <c r="D532" s="19"/>
      <c r="E532" s="9"/>
      <c r="F532" s="21">
        <f>Source!AL460</f>
        <v>0.63</v>
      </c>
      <c r="G532" s="20" t="str">
        <f>Source!DD460</f>
        <v/>
      </c>
      <c r="H532" s="9">
        <f>Source!AW460</f>
        <v>1</v>
      </c>
      <c r="I532" s="9">
        <f>IF(Source!BC460&lt;&gt; 0, Source!BC460, 1)</f>
        <v>1</v>
      </c>
      <c r="J532" s="21">
        <f>Source!P460</f>
        <v>0.63</v>
      </c>
      <c r="K532" s="21"/>
    </row>
    <row r="533" spans="1:22" ht="14.25" x14ac:dyDescent="0.2">
      <c r="A533" s="18"/>
      <c r="B533" s="18"/>
      <c r="C533" s="18" t="s">
        <v>465</v>
      </c>
      <c r="D533" s="19" t="s">
        <v>466</v>
      </c>
      <c r="E533" s="9">
        <f>Source!AT460</f>
        <v>70</v>
      </c>
      <c r="F533" s="21"/>
      <c r="G533" s="20"/>
      <c r="H533" s="9"/>
      <c r="I533" s="9"/>
      <c r="J533" s="21">
        <f>SUM(R527:R532)</f>
        <v>870.82</v>
      </c>
      <c r="K533" s="21"/>
    </row>
    <row r="534" spans="1:22" ht="14.25" x14ac:dyDescent="0.2">
      <c r="A534" s="18"/>
      <c r="B534" s="18"/>
      <c r="C534" s="18" t="s">
        <v>467</v>
      </c>
      <c r="D534" s="19" t="s">
        <v>466</v>
      </c>
      <c r="E534" s="9">
        <f>Source!AU460</f>
        <v>10</v>
      </c>
      <c r="F534" s="21"/>
      <c r="G534" s="20"/>
      <c r="H534" s="9"/>
      <c r="I534" s="9"/>
      <c r="J534" s="21">
        <f>SUM(T527:T533)</f>
        <v>124.4</v>
      </c>
      <c r="K534" s="21"/>
    </row>
    <row r="535" spans="1:22" ht="14.25" x14ac:dyDescent="0.2">
      <c r="A535" s="18"/>
      <c r="B535" s="18"/>
      <c r="C535" s="18" t="s">
        <v>468</v>
      </c>
      <c r="D535" s="19" t="s">
        <v>466</v>
      </c>
      <c r="E535" s="9">
        <f>108</f>
        <v>108</v>
      </c>
      <c r="F535" s="21"/>
      <c r="G535" s="20"/>
      <c r="H535" s="9"/>
      <c r="I535" s="9"/>
      <c r="J535" s="21">
        <f>SUM(V527:V534)</f>
        <v>966.35</v>
      </c>
      <c r="K535" s="21"/>
    </row>
    <row r="536" spans="1:22" ht="14.25" x14ac:dyDescent="0.2">
      <c r="A536" s="18"/>
      <c r="B536" s="18"/>
      <c r="C536" s="18" t="s">
        <v>469</v>
      </c>
      <c r="D536" s="19" t="s">
        <v>470</v>
      </c>
      <c r="E536" s="9">
        <f>Source!AQ460</f>
        <v>1.75</v>
      </c>
      <c r="F536" s="21"/>
      <c r="G536" s="20" t="str">
        <f>Source!DI460</f>
        <v/>
      </c>
      <c r="H536" s="9">
        <f>Source!AV460</f>
        <v>1</v>
      </c>
      <c r="I536" s="9"/>
      <c r="J536" s="21"/>
      <c r="K536" s="21">
        <f>Source!U460</f>
        <v>1.75</v>
      </c>
    </row>
    <row r="537" spans="1:22" ht="15" x14ac:dyDescent="0.25">
      <c r="A537" s="26"/>
      <c r="B537" s="26"/>
      <c r="C537" s="26"/>
      <c r="D537" s="26"/>
      <c r="E537" s="26"/>
      <c r="F537" s="26"/>
      <c r="G537" s="26"/>
      <c r="H537" s="26"/>
      <c r="I537" s="53">
        <f>J529+J530+J532+J533+J534+J535</f>
        <v>4617.3900000000003</v>
      </c>
      <c r="J537" s="53"/>
      <c r="K537" s="27">
        <f>IF(Source!I460&lt;&gt;0, ROUND(I537/Source!I460, 2), 0)</f>
        <v>4617.3900000000003</v>
      </c>
      <c r="P537" s="24">
        <f>I537</f>
        <v>4617.3900000000003</v>
      </c>
    </row>
    <row r="538" spans="1:22" ht="42.75" x14ac:dyDescent="0.2">
      <c r="A538" s="18">
        <v>53</v>
      </c>
      <c r="B538" s="18" t="str">
        <f>Source!F461</f>
        <v>1.24-2103-16-1/1</v>
      </c>
      <c r="C538" s="18" t="str">
        <f>Source!G461</f>
        <v>Техническое обслуживание погружных насосов мощностью от 2,1 кВт до 16 кВт / прим.</v>
      </c>
      <c r="D538" s="19" t="str">
        <f>Source!H461</f>
        <v>шт.</v>
      </c>
      <c r="E538" s="9">
        <f>Source!I461</f>
        <v>1</v>
      </c>
      <c r="F538" s="21"/>
      <c r="G538" s="20"/>
      <c r="H538" s="9"/>
      <c r="I538" s="9"/>
      <c r="J538" s="21"/>
      <c r="K538" s="21"/>
      <c r="Q538">
        <f>ROUND((Source!BZ461/100)*ROUND((Source!AF461*Source!AV461)*Source!I461, 2), 2)</f>
        <v>2670.24</v>
      </c>
      <c r="R538">
        <f>Source!X461</f>
        <v>2670.24</v>
      </c>
      <c r="S538">
        <f>ROUND((Source!CA461/100)*ROUND((Source!AF461*Source!AV461)*Source!I461, 2), 2)</f>
        <v>381.46</v>
      </c>
      <c r="T538">
        <f>Source!Y461</f>
        <v>381.46</v>
      </c>
      <c r="U538">
        <f>ROUND((175/100)*ROUND((Source!AE461*Source!AV461)*Source!I461, 2), 2)</f>
        <v>1.98</v>
      </c>
      <c r="V538">
        <f>ROUND((108/100)*ROUND(Source!CS461*Source!I461, 2), 2)</f>
        <v>1.22</v>
      </c>
    </row>
    <row r="539" spans="1:22" x14ac:dyDescent="0.2">
      <c r="C539" s="22" t="str">
        <f>"Объем: "&amp;Source!I461&amp;"=1*"&amp;"1"</f>
        <v>Объем: 1=1*1</v>
      </c>
    </row>
    <row r="540" spans="1:22" ht="14.25" x14ac:dyDescent="0.2">
      <c r="A540" s="18"/>
      <c r="B540" s="18"/>
      <c r="C540" s="18" t="s">
        <v>461</v>
      </c>
      <c r="D540" s="19"/>
      <c r="E540" s="9"/>
      <c r="F540" s="21">
        <f>Source!AO461</f>
        <v>3814.63</v>
      </c>
      <c r="G540" s="20" t="str">
        <f>Source!DG461</f>
        <v/>
      </c>
      <c r="H540" s="9">
        <f>Source!AV461</f>
        <v>1</v>
      </c>
      <c r="I540" s="9">
        <f>IF(Source!BA461&lt;&gt; 0, Source!BA461, 1)</f>
        <v>1</v>
      </c>
      <c r="J540" s="21">
        <f>Source!S461</f>
        <v>3814.63</v>
      </c>
      <c r="K540" s="21"/>
    </row>
    <row r="541" spans="1:22" ht="14.25" x14ac:dyDescent="0.2">
      <c r="A541" s="18"/>
      <c r="B541" s="18"/>
      <c r="C541" s="18" t="s">
        <v>462</v>
      </c>
      <c r="D541" s="19"/>
      <c r="E541" s="9"/>
      <c r="F541" s="21">
        <f>Source!AM461</f>
        <v>26.53</v>
      </c>
      <c r="G541" s="20" t="str">
        <f>Source!DE461</f>
        <v/>
      </c>
      <c r="H541" s="9">
        <f>Source!AV461</f>
        <v>1</v>
      </c>
      <c r="I541" s="9">
        <f>IF(Source!BB461&lt;&gt; 0, Source!BB461, 1)</f>
        <v>1</v>
      </c>
      <c r="J541" s="21">
        <f>Source!Q461</f>
        <v>26.53</v>
      </c>
      <c r="K541" s="21"/>
    </row>
    <row r="542" spans="1:22" ht="14.25" x14ac:dyDescent="0.2">
      <c r="A542" s="18"/>
      <c r="B542" s="18"/>
      <c r="C542" s="18" t="s">
        <v>463</v>
      </c>
      <c r="D542" s="19"/>
      <c r="E542" s="9"/>
      <c r="F542" s="21">
        <f>Source!AN461</f>
        <v>1.1299999999999999</v>
      </c>
      <c r="G542" s="20" t="str">
        <f>Source!DF461</f>
        <v/>
      </c>
      <c r="H542" s="9">
        <f>Source!AV461</f>
        <v>1</v>
      </c>
      <c r="I542" s="9">
        <f>IF(Source!BS461&lt;&gt; 0, Source!BS461, 1)</f>
        <v>1</v>
      </c>
      <c r="J542" s="23">
        <f>Source!R461</f>
        <v>1.1299999999999999</v>
      </c>
      <c r="K542" s="21"/>
    </row>
    <row r="543" spans="1:22" ht="14.25" x14ac:dyDescent="0.2">
      <c r="A543" s="18"/>
      <c r="B543" s="18"/>
      <c r="C543" s="18" t="s">
        <v>464</v>
      </c>
      <c r="D543" s="19"/>
      <c r="E543" s="9"/>
      <c r="F543" s="21">
        <f>Source!AL461</f>
        <v>5881.34</v>
      </c>
      <c r="G543" s="20" t="str">
        <f>Source!DD461</f>
        <v/>
      </c>
      <c r="H543" s="9">
        <f>Source!AW461</f>
        <v>1</v>
      </c>
      <c r="I543" s="9">
        <f>IF(Source!BC461&lt;&gt; 0, Source!BC461, 1)</f>
        <v>1</v>
      </c>
      <c r="J543" s="21">
        <f>Source!P461</f>
        <v>5881.34</v>
      </c>
      <c r="K543" s="21"/>
    </row>
    <row r="544" spans="1:22" ht="14.25" x14ac:dyDescent="0.2">
      <c r="A544" s="18"/>
      <c r="B544" s="18"/>
      <c r="C544" s="18" t="s">
        <v>465</v>
      </c>
      <c r="D544" s="19" t="s">
        <v>466</v>
      </c>
      <c r="E544" s="9">
        <f>Source!AT461</f>
        <v>70</v>
      </c>
      <c r="F544" s="21"/>
      <c r="G544" s="20"/>
      <c r="H544" s="9"/>
      <c r="I544" s="9"/>
      <c r="J544" s="21">
        <f>SUM(R538:R543)</f>
        <v>2670.24</v>
      </c>
      <c r="K544" s="21"/>
    </row>
    <row r="545" spans="1:22" ht="14.25" x14ac:dyDescent="0.2">
      <c r="A545" s="18"/>
      <c r="B545" s="18"/>
      <c r="C545" s="18" t="s">
        <v>467</v>
      </c>
      <c r="D545" s="19" t="s">
        <v>466</v>
      </c>
      <c r="E545" s="9">
        <f>Source!AU461</f>
        <v>10</v>
      </c>
      <c r="F545" s="21"/>
      <c r="G545" s="20"/>
      <c r="H545" s="9"/>
      <c r="I545" s="9"/>
      <c r="J545" s="21">
        <f>SUM(T538:T544)</f>
        <v>381.46</v>
      </c>
      <c r="K545" s="21"/>
    </row>
    <row r="546" spans="1:22" ht="14.25" x14ac:dyDescent="0.2">
      <c r="A546" s="18"/>
      <c r="B546" s="18"/>
      <c r="C546" s="18" t="s">
        <v>468</v>
      </c>
      <c r="D546" s="19" t="s">
        <v>466</v>
      </c>
      <c r="E546" s="9">
        <f>108</f>
        <v>108</v>
      </c>
      <c r="F546" s="21"/>
      <c r="G546" s="20"/>
      <c r="H546" s="9"/>
      <c r="I546" s="9"/>
      <c r="J546" s="21">
        <f>SUM(V538:V545)</f>
        <v>1.22</v>
      </c>
      <c r="K546" s="21"/>
    </row>
    <row r="547" spans="1:22" ht="14.25" x14ac:dyDescent="0.2">
      <c r="A547" s="18"/>
      <c r="B547" s="18"/>
      <c r="C547" s="18" t="s">
        <v>469</v>
      </c>
      <c r="D547" s="19" t="s">
        <v>470</v>
      </c>
      <c r="E547" s="9">
        <f>Source!AQ461</f>
        <v>5.7</v>
      </c>
      <c r="F547" s="21"/>
      <c r="G547" s="20" t="str">
        <f>Source!DI461</f>
        <v/>
      </c>
      <c r="H547" s="9">
        <f>Source!AV461</f>
        <v>1</v>
      </c>
      <c r="I547" s="9"/>
      <c r="J547" s="21"/>
      <c r="K547" s="21">
        <f>Source!U461</f>
        <v>5.7</v>
      </c>
    </row>
    <row r="548" spans="1:22" ht="15" x14ac:dyDescent="0.25">
      <c r="A548" s="26"/>
      <c r="B548" s="26"/>
      <c r="C548" s="26"/>
      <c r="D548" s="26"/>
      <c r="E548" s="26"/>
      <c r="F548" s="26"/>
      <c r="G548" s="26"/>
      <c r="H548" s="26"/>
      <c r="I548" s="53">
        <f>J540+J541+J543+J544+J545+J546</f>
        <v>12775.419999999998</v>
      </c>
      <c r="J548" s="53"/>
      <c r="K548" s="27">
        <f>IF(Source!I461&lt;&gt;0, ROUND(I548/Source!I461, 2), 0)</f>
        <v>12775.42</v>
      </c>
      <c r="P548" s="24">
        <f>I548</f>
        <v>12775.419999999998</v>
      </c>
    </row>
    <row r="549" spans="1:22" ht="42.75" x14ac:dyDescent="0.2">
      <c r="A549" s="18">
        <v>54</v>
      </c>
      <c r="B549" s="18" t="str">
        <f>Source!F464</f>
        <v>1.17-2103-14-1/1</v>
      </c>
      <c r="C549" s="18" t="str">
        <f>Source!G464</f>
        <v>Техническое обслуживание мембранного расширительного бака объемом 100 л</v>
      </c>
      <c r="D549" s="19" t="str">
        <f>Source!H464</f>
        <v>шт.</v>
      </c>
      <c r="E549" s="9">
        <f>Source!I464</f>
        <v>1</v>
      </c>
      <c r="F549" s="21"/>
      <c r="G549" s="20"/>
      <c r="H549" s="9"/>
      <c r="I549" s="9"/>
      <c r="J549" s="21"/>
      <c r="K549" s="21"/>
      <c r="Q549">
        <f>ROUND((Source!BZ464/100)*ROUND((Source!AF464*Source!AV464)*Source!I464, 2), 2)</f>
        <v>250.7</v>
      </c>
      <c r="R549">
        <f>Source!X464</f>
        <v>250.7</v>
      </c>
      <c r="S549">
        <f>ROUND((Source!CA464/100)*ROUND((Source!AF464*Source!AV464)*Source!I464, 2), 2)</f>
        <v>35.81</v>
      </c>
      <c r="T549">
        <f>Source!Y464</f>
        <v>35.81</v>
      </c>
      <c r="U549">
        <f>ROUND((175/100)*ROUND((Source!AE464*Source!AV464)*Source!I464, 2), 2)</f>
        <v>0</v>
      </c>
      <c r="V549">
        <f>ROUND((108/100)*ROUND(Source!CS464*Source!I464, 2), 2)</f>
        <v>0</v>
      </c>
    </row>
    <row r="550" spans="1:22" ht="14.25" x14ac:dyDescent="0.2">
      <c r="A550" s="18"/>
      <c r="B550" s="18"/>
      <c r="C550" s="18" t="s">
        <v>461</v>
      </c>
      <c r="D550" s="19"/>
      <c r="E550" s="9"/>
      <c r="F550" s="21">
        <f>Source!AO464</f>
        <v>358.14</v>
      </c>
      <c r="G550" s="20" t="str">
        <f>Source!DG464</f>
        <v/>
      </c>
      <c r="H550" s="9">
        <f>Source!AV464</f>
        <v>1</v>
      </c>
      <c r="I550" s="9">
        <f>IF(Source!BA464&lt;&gt; 0, Source!BA464, 1)</f>
        <v>1</v>
      </c>
      <c r="J550" s="21">
        <f>Source!S464</f>
        <v>358.14</v>
      </c>
      <c r="K550" s="21"/>
    </row>
    <row r="551" spans="1:22" ht="14.25" x14ac:dyDescent="0.2">
      <c r="A551" s="18"/>
      <c r="B551" s="18"/>
      <c r="C551" s="18" t="s">
        <v>464</v>
      </c>
      <c r="D551" s="19"/>
      <c r="E551" s="9"/>
      <c r="F551" s="21">
        <f>Source!AL464</f>
        <v>0.63</v>
      </c>
      <c r="G551" s="20" t="str">
        <f>Source!DD464</f>
        <v/>
      </c>
      <c r="H551" s="9">
        <f>Source!AW464</f>
        <v>1</v>
      </c>
      <c r="I551" s="9">
        <f>IF(Source!BC464&lt;&gt; 0, Source!BC464, 1)</f>
        <v>1</v>
      </c>
      <c r="J551" s="21">
        <f>Source!P464</f>
        <v>0.63</v>
      </c>
      <c r="K551" s="21"/>
    </row>
    <row r="552" spans="1:22" ht="14.25" x14ac:dyDescent="0.2">
      <c r="A552" s="18"/>
      <c r="B552" s="18"/>
      <c r="C552" s="18" t="s">
        <v>465</v>
      </c>
      <c r="D552" s="19" t="s">
        <v>466</v>
      </c>
      <c r="E552" s="9">
        <f>Source!AT464</f>
        <v>70</v>
      </c>
      <c r="F552" s="21"/>
      <c r="G552" s="20"/>
      <c r="H552" s="9"/>
      <c r="I552" s="9"/>
      <c r="J552" s="21">
        <f>SUM(R549:R551)</f>
        <v>250.7</v>
      </c>
      <c r="K552" s="21"/>
    </row>
    <row r="553" spans="1:22" ht="14.25" x14ac:dyDescent="0.2">
      <c r="A553" s="18"/>
      <c r="B553" s="18"/>
      <c r="C553" s="18" t="s">
        <v>467</v>
      </c>
      <c r="D553" s="19" t="s">
        <v>466</v>
      </c>
      <c r="E553" s="9">
        <f>Source!AU464</f>
        <v>10</v>
      </c>
      <c r="F553" s="21"/>
      <c r="G553" s="20"/>
      <c r="H553" s="9"/>
      <c r="I553" s="9"/>
      <c r="J553" s="21">
        <f>SUM(T549:T552)</f>
        <v>35.81</v>
      </c>
      <c r="K553" s="21"/>
    </row>
    <row r="554" spans="1:22" ht="14.25" x14ac:dyDescent="0.2">
      <c r="A554" s="18"/>
      <c r="B554" s="18"/>
      <c r="C554" s="18" t="s">
        <v>469</v>
      </c>
      <c r="D554" s="19" t="s">
        <v>470</v>
      </c>
      <c r="E554" s="9">
        <f>Source!AQ464</f>
        <v>0.57999999999999996</v>
      </c>
      <c r="F554" s="21"/>
      <c r="G554" s="20" t="str">
        <f>Source!DI464</f>
        <v/>
      </c>
      <c r="H554" s="9">
        <f>Source!AV464</f>
        <v>1</v>
      </c>
      <c r="I554" s="9"/>
      <c r="J554" s="21"/>
      <c r="K554" s="21">
        <f>Source!U464</f>
        <v>0.57999999999999996</v>
      </c>
    </row>
    <row r="555" spans="1:22" ht="15" x14ac:dyDescent="0.25">
      <c r="A555" s="26"/>
      <c r="B555" s="26"/>
      <c r="C555" s="26"/>
      <c r="D555" s="26"/>
      <c r="E555" s="26"/>
      <c r="F555" s="26"/>
      <c r="G555" s="26"/>
      <c r="H555" s="26"/>
      <c r="I555" s="53">
        <f>J550+J551+J552+J553</f>
        <v>645.28</v>
      </c>
      <c r="J555" s="53"/>
      <c r="K555" s="27">
        <f>IF(Source!I464&lt;&gt;0, ROUND(I555/Source!I464, 2), 0)</f>
        <v>645.28</v>
      </c>
      <c r="P555" s="24">
        <f>I555</f>
        <v>645.28</v>
      </c>
    </row>
    <row r="556" spans="1:22" ht="57" x14ac:dyDescent="0.2">
      <c r="A556" s="18">
        <v>55</v>
      </c>
      <c r="B556" s="18" t="str">
        <f>Source!F465</f>
        <v>1.23-2103-41-1/1</v>
      </c>
      <c r="C556" s="18" t="str">
        <f>Source!G465</f>
        <v>Техническое обслуживание регулирующего клапана / Кран шаровой ПВХ 1/2 для подключения гибкой подводки</v>
      </c>
      <c r="D556" s="19" t="str">
        <f>Source!H465</f>
        <v>шт.</v>
      </c>
      <c r="E556" s="9">
        <f>Source!I465</f>
        <v>6</v>
      </c>
      <c r="F556" s="21"/>
      <c r="G556" s="20"/>
      <c r="H556" s="9"/>
      <c r="I556" s="9"/>
      <c r="J556" s="21"/>
      <c r="K556" s="21"/>
      <c r="Q556">
        <f>ROUND((Source!BZ465/100)*ROUND((Source!AF465*Source!AV465)*Source!I465, 2), 2)</f>
        <v>873.6</v>
      </c>
      <c r="R556">
        <f>Source!X465</f>
        <v>873.6</v>
      </c>
      <c r="S556">
        <f>ROUND((Source!CA465/100)*ROUND((Source!AF465*Source!AV465)*Source!I465, 2), 2)</f>
        <v>124.8</v>
      </c>
      <c r="T556">
        <f>Source!Y465</f>
        <v>124.8</v>
      </c>
      <c r="U556">
        <f>ROUND((175/100)*ROUND((Source!AE465*Source!AV465)*Source!I465, 2), 2)</f>
        <v>520.49</v>
      </c>
      <c r="V556">
        <f>ROUND((108/100)*ROUND(Source!CS465*Source!I465, 2), 2)</f>
        <v>321.20999999999998</v>
      </c>
    </row>
    <row r="557" spans="1:22" x14ac:dyDescent="0.2">
      <c r="C557" s="22" t="str">
        <f>"Объем: "&amp;Source!I465&amp;"=6*"&amp;"1"</f>
        <v>Объем: 6=6*1</v>
      </c>
    </row>
    <row r="558" spans="1:22" ht="14.25" x14ac:dyDescent="0.2">
      <c r="A558" s="18"/>
      <c r="B558" s="18"/>
      <c r="C558" s="18" t="s">
        <v>461</v>
      </c>
      <c r="D558" s="19"/>
      <c r="E558" s="9"/>
      <c r="F558" s="21">
        <f>Source!AO465</f>
        <v>208</v>
      </c>
      <c r="G558" s="20" t="str">
        <f>Source!DG465</f>
        <v/>
      </c>
      <c r="H558" s="9">
        <f>Source!AV465</f>
        <v>1</v>
      </c>
      <c r="I558" s="9">
        <f>IF(Source!BA465&lt;&gt; 0, Source!BA465, 1)</f>
        <v>1</v>
      </c>
      <c r="J558" s="21">
        <f>Source!S465</f>
        <v>1248</v>
      </c>
      <c r="K558" s="21"/>
    </row>
    <row r="559" spans="1:22" ht="14.25" x14ac:dyDescent="0.2">
      <c r="A559" s="18"/>
      <c r="B559" s="18"/>
      <c r="C559" s="18" t="s">
        <v>462</v>
      </c>
      <c r="D559" s="19"/>
      <c r="E559" s="9"/>
      <c r="F559" s="21">
        <f>Source!AM465</f>
        <v>78.180000000000007</v>
      </c>
      <c r="G559" s="20" t="str">
        <f>Source!DE465</f>
        <v/>
      </c>
      <c r="H559" s="9">
        <f>Source!AV465</f>
        <v>1</v>
      </c>
      <c r="I559" s="9">
        <f>IF(Source!BB465&lt;&gt; 0, Source!BB465, 1)</f>
        <v>1</v>
      </c>
      <c r="J559" s="21">
        <f>Source!Q465</f>
        <v>469.08</v>
      </c>
      <c r="K559" s="21"/>
    </row>
    <row r="560" spans="1:22" ht="14.25" x14ac:dyDescent="0.2">
      <c r="A560" s="18"/>
      <c r="B560" s="18"/>
      <c r="C560" s="18" t="s">
        <v>463</v>
      </c>
      <c r="D560" s="19"/>
      <c r="E560" s="9"/>
      <c r="F560" s="21">
        <f>Source!AN465</f>
        <v>49.57</v>
      </c>
      <c r="G560" s="20" t="str">
        <f>Source!DF465</f>
        <v/>
      </c>
      <c r="H560" s="9">
        <f>Source!AV465</f>
        <v>1</v>
      </c>
      <c r="I560" s="9">
        <f>IF(Source!BS465&lt;&gt; 0, Source!BS465, 1)</f>
        <v>1</v>
      </c>
      <c r="J560" s="23">
        <f>Source!R465</f>
        <v>297.42</v>
      </c>
      <c r="K560" s="21"/>
    </row>
    <row r="561" spans="1:22" ht="14.25" x14ac:dyDescent="0.2">
      <c r="A561" s="18"/>
      <c r="B561" s="18"/>
      <c r="C561" s="18" t="s">
        <v>465</v>
      </c>
      <c r="D561" s="19" t="s">
        <v>466</v>
      </c>
      <c r="E561" s="9">
        <f>Source!AT465</f>
        <v>70</v>
      </c>
      <c r="F561" s="21"/>
      <c r="G561" s="20"/>
      <c r="H561" s="9"/>
      <c r="I561" s="9"/>
      <c r="J561" s="21">
        <f>SUM(R556:R560)</f>
        <v>873.6</v>
      </c>
      <c r="K561" s="21"/>
    </row>
    <row r="562" spans="1:22" ht="14.25" x14ac:dyDescent="0.2">
      <c r="A562" s="18"/>
      <c r="B562" s="18"/>
      <c r="C562" s="18" t="s">
        <v>467</v>
      </c>
      <c r="D562" s="19" t="s">
        <v>466</v>
      </c>
      <c r="E562" s="9">
        <f>Source!AU465</f>
        <v>10</v>
      </c>
      <c r="F562" s="21"/>
      <c r="G562" s="20"/>
      <c r="H562" s="9"/>
      <c r="I562" s="9"/>
      <c r="J562" s="21">
        <f>SUM(T556:T561)</f>
        <v>124.8</v>
      </c>
      <c r="K562" s="21"/>
    </row>
    <row r="563" spans="1:22" ht="14.25" x14ac:dyDescent="0.2">
      <c r="A563" s="18"/>
      <c r="B563" s="18"/>
      <c r="C563" s="18" t="s">
        <v>468</v>
      </c>
      <c r="D563" s="19" t="s">
        <v>466</v>
      </c>
      <c r="E563" s="9">
        <f>108</f>
        <v>108</v>
      </c>
      <c r="F563" s="21"/>
      <c r="G563" s="20"/>
      <c r="H563" s="9"/>
      <c r="I563" s="9"/>
      <c r="J563" s="21">
        <f>SUM(V556:V562)</f>
        <v>321.20999999999998</v>
      </c>
      <c r="K563" s="21"/>
    </row>
    <row r="564" spans="1:22" ht="14.25" x14ac:dyDescent="0.2">
      <c r="A564" s="18"/>
      <c r="B564" s="18"/>
      <c r="C564" s="18" t="s">
        <v>469</v>
      </c>
      <c r="D564" s="19" t="s">
        <v>470</v>
      </c>
      <c r="E564" s="9">
        <f>Source!AQ465</f>
        <v>0.37</v>
      </c>
      <c r="F564" s="21"/>
      <c r="G564" s="20" t="str">
        <f>Source!DI465</f>
        <v/>
      </c>
      <c r="H564" s="9">
        <f>Source!AV465</f>
        <v>1</v>
      </c>
      <c r="I564" s="9"/>
      <c r="J564" s="21"/>
      <c r="K564" s="21">
        <f>Source!U465</f>
        <v>2.2199999999999998</v>
      </c>
    </row>
    <row r="565" spans="1:22" ht="15" x14ac:dyDescent="0.25">
      <c r="A565" s="26"/>
      <c r="B565" s="26"/>
      <c r="C565" s="26"/>
      <c r="D565" s="26"/>
      <c r="E565" s="26"/>
      <c r="F565" s="26"/>
      <c r="G565" s="26"/>
      <c r="H565" s="26"/>
      <c r="I565" s="53">
        <f>J558+J559+J561+J562+J563</f>
        <v>3036.69</v>
      </c>
      <c r="J565" s="53"/>
      <c r="K565" s="27">
        <f>IF(Source!I465&lt;&gt;0, ROUND(I565/Source!I465, 2), 0)</f>
        <v>506.12</v>
      </c>
      <c r="P565" s="24">
        <f>I565</f>
        <v>3036.69</v>
      </c>
    </row>
    <row r="566" spans="1:22" ht="57" x14ac:dyDescent="0.2">
      <c r="A566" s="18">
        <v>56</v>
      </c>
      <c r="B566" s="18" t="str">
        <f>Source!F467</f>
        <v>1.16-2303-2-1/1</v>
      </c>
      <c r="C566" s="18" t="str">
        <f>Source!G467</f>
        <v>Техническое обслуживание насоса для сточных вод переносного с полуоткрытым рабочим колесом Грундфос EF / сололифт</v>
      </c>
      <c r="D566" s="19" t="str">
        <f>Source!H467</f>
        <v>шт.</v>
      </c>
      <c r="E566" s="9">
        <f>Source!I467</f>
        <v>2</v>
      </c>
      <c r="F566" s="21"/>
      <c r="G566" s="20"/>
      <c r="H566" s="9"/>
      <c r="I566" s="9"/>
      <c r="J566" s="21"/>
      <c r="K566" s="21"/>
      <c r="Q566">
        <f>ROUND((Source!BZ467/100)*ROUND((Source!AF467*Source!AV467)*Source!I467, 2), 2)</f>
        <v>4645.0200000000004</v>
      </c>
      <c r="R566">
        <f>Source!X467</f>
        <v>4645.0200000000004</v>
      </c>
      <c r="S566">
        <f>ROUND((Source!CA467/100)*ROUND((Source!AF467*Source!AV467)*Source!I467, 2), 2)</f>
        <v>663.57</v>
      </c>
      <c r="T566">
        <f>Source!Y467</f>
        <v>663.57</v>
      </c>
      <c r="U566">
        <f>ROUND((175/100)*ROUND((Source!AE467*Source!AV467)*Source!I467, 2), 2)</f>
        <v>0</v>
      </c>
      <c r="V566">
        <f>ROUND((108/100)*ROUND(Source!CS467*Source!I467, 2), 2)</f>
        <v>0</v>
      </c>
    </row>
    <row r="567" spans="1:22" ht="14.25" x14ac:dyDescent="0.2">
      <c r="A567" s="18"/>
      <c r="B567" s="18"/>
      <c r="C567" s="18" t="s">
        <v>461</v>
      </c>
      <c r="D567" s="19"/>
      <c r="E567" s="9"/>
      <c r="F567" s="21">
        <f>Source!AO467</f>
        <v>3317.87</v>
      </c>
      <c r="G567" s="20" t="str">
        <f>Source!DG467</f>
        <v/>
      </c>
      <c r="H567" s="9">
        <f>Source!AV467</f>
        <v>1</v>
      </c>
      <c r="I567" s="9">
        <f>IF(Source!BA467&lt;&gt; 0, Source!BA467, 1)</f>
        <v>1</v>
      </c>
      <c r="J567" s="21">
        <f>Source!S467</f>
        <v>6635.74</v>
      </c>
      <c r="K567" s="21"/>
    </row>
    <row r="568" spans="1:22" ht="14.25" x14ac:dyDescent="0.2">
      <c r="A568" s="18"/>
      <c r="B568" s="18"/>
      <c r="C568" s="18" t="s">
        <v>464</v>
      </c>
      <c r="D568" s="19"/>
      <c r="E568" s="9"/>
      <c r="F568" s="21">
        <f>Source!AL467</f>
        <v>131.15</v>
      </c>
      <c r="G568" s="20" t="str">
        <f>Source!DD467</f>
        <v/>
      </c>
      <c r="H568" s="9">
        <f>Source!AW467</f>
        <v>1</v>
      </c>
      <c r="I568" s="9">
        <f>IF(Source!BC467&lt;&gt; 0, Source!BC467, 1)</f>
        <v>1</v>
      </c>
      <c r="J568" s="21">
        <f>Source!P467</f>
        <v>262.3</v>
      </c>
      <c r="K568" s="21"/>
    </row>
    <row r="569" spans="1:22" ht="14.25" x14ac:dyDescent="0.2">
      <c r="A569" s="18"/>
      <c r="B569" s="18"/>
      <c r="C569" s="18" t="s">
        <v>465</v>
      </c>
      <c r="D569" s="19" t="s">
        <v>466</v>
      </c>
      <c r="E569" s="9">
        <f>Source!AT467</f>
        <v>70</v>
      </c>
      <c r="F569" s="21"/>
      <c r="G569" s="20"/>
      <c r="H569" s="9"/>
      <c r="I569" s="9"/>
      <c r="J569" s="21">
        <f>SUM(R566:R568)</f>
        <v>4645.0200000000004</v>
      </c>
      <c r="K569" s="21"/>
    </row>
    <row r="570" spans="1:22" ht="14.25" x14ac:dyDescent="0.2">
      <c r="A570" s="18"/>
      <c r="B570" s="18"/>
      <c r="C570" s="18" t="s">
        <v>467</v>
      </c>
      <c r="D570" s="19" t="s">
        <v>466</v>
      </c>
      <c r="E570" s="9">
        <f>Source!AU467</f>
        <v>10</v>
      </c>
      <c r="F570" s="21"/>
      <c r="G570" s="20"/>
      <c r="H570" s="9"/>
      <c r="I570" s="9"/>
      <c r="J570" s="21">
        <f>SUM(T566:T569)</f>
        <v>663.57</v>
      </c>
      <c r="K570" s="21"/>
    </row>
    <row r="571" spans="1:22" ht="14.25" x14ac:dyDescent="0.2">
      <c r="A571" s="18"/>
      <c r="B571" s="18"/>
      <c r="C571" s="18" t="s">
        <v>469</v>
      </c>
      <c r="D571" s="19" t="s">
        <v>470</v>
      </c>
      <c r="E571" s="9">
        <f>Source!AQ467</f>
        <v>5</v>
      </c>
      <c r="F571" s="21"/>
      <c r="G571" s="20" t="str">
        <f>Source!DI467</f>
        <v/>
      </c>
      <c r="H571" s="9">
        <f>Source!AV467</f>
        <v>1</v>
      </c>
      <c r="I571" s="9"/>
      <c r="J571" s="21"/>
      <c r="K571" s="21">
        <f>Source!U467</f>
        <v>10</v>
      </c>
    </row>
    <row r="572" spans="1:22" ht="15" x14ac:dyDescent="0.25">
      <c r="A572" s="26"/>
      <c r="B572" s="26"/>
      <c r="C572" s="26"/>
      <c r="D572" s="26"/>
      <c r="E572" s="26"/>
      <c r="F572" s="26"/>
      <c r="G572" s="26"/>
      <c r="H572" s="26"/>
      <c r="I572" s="53">
        <f>J567+J568+J569+J570</f>
        <v>12206.630000000001</v>
      </c>
      <c r="J572" s="53"/>
      <c r="K572" s="27">
        <f>IF(Source!I467&lt;&gt;0, ROUND(I572/Source!I467, 2), 0)</f>
        <v>6103.32</v>
      </c>
      <c r="P572" s="24">
        <f>I572</f>
        <v>12206.630000000001</v>
      </c>
    </row>
    <row r="574" spans="1:22" ht="15" x14ac:dyDescent="0.25">
      <c r="A574" s="57" t="str">
        <f>CONCATENATE("Итого по подразделу: ",IF(Source!G469&lt;&gt;"Новый подраздел", Source!G469, ""))</f>
        <v>Итого по подразделу: Техническое помещение общее на модуль</v>
      </c>
      <c r="B574" s="57"/>
      <c r="C574" s="57"/>
      <c r="D574" s="57"/>
      <c r="E574" s="57"/>
      <c r="F574" s="57"/>
      <c r="G574" s="57"/>
      <c r="H574" s="57"/>
      <c r="I574" s="55">
        <f>SUM(P526:P573)</f>
        <v>33281.409999999996</v>
      </c>
      <c r="J574" s="56"/>
      <c r="K574" s="28"/>
    </row>
    <row r="577" spans="1:22" ht="16.5" x14ac:dyDescent="0.25">
      <c r="A577" s="54" t="str">
        <f>CONCATENATE("Подраздел: ",IF(Source!G499&lt;&gt;"Новый подраздел", Source!G499, ""))</f>
        <v>Подраздел: Электрооборудование</v>
      </c>
      <c r="B577" s="54"/>
      <c r="C577" s="54"/>
      <c r="D577" s="54"/>
      <c r="E577" s="54"/>
      <c r="F577" s="54"/>
      <c r="G577" s="54"/>
      <c r="H577" s="54"/>
      <c r="I577" s="54"/>
      <c r="J577" s="54"/>
      <c r="K577" s="54"/>
    </row>
    <row r="578" spans="1:22" ht="71.25" x14ac:dyDescent="0.2">
      <c r="A578" s="18">
        <v>57</v>
      </c>
      <c r="B578" s="18" t="str">
        <f>Source!F503</f>
        <v>1.21-2203-2-5/1</v>
      </c>
      <c r="C578" s="18" t="str">
        <f>Source!G503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D578" s="19" t="str">
        <f>Source!H503</f>
        <v>шт.</v>
      </c>
      <c r="E578" s="9">
        <f>Source!I503</f>
        <v>1</v>
      </c>
      <c r="F578" s="21"/>
      <c r="G578" s="20"/>
      <c r="H578" s="9"/>
      <c r="I578" s="9"/>
      <c r="J578" s="21"/>
      <c r="K578" s="21"/>
      <c r="Q578">
        <f>ROUND((Source!BZ503/100)*ROUND((Source!AF503*Source!AV503)*Source!I503, 2), 2)</f>
        <v>10373.83</v>
      </c>
      <c r="R578">
        <f>Source!X503</f>
        <v>10373.83</v>
      </c>
      <c r="S578">
        <f>ROUND((Source!CA503/100)*ROUND((Source!AF503*Source!AV503)*Source!I503, 2), 2)</f>
        <v>1481.98</v>
      </c>
      <c r="T578">
        <f>Source!Y503</f>
        <v>1481.98</v>
      </c>
      <c r="U578">
        <f>ROUND((175/100)*ROUND((Source!AE503*Source!AV503)*Source!I503, 2), 2)</f>
        <v>0</v>
      </c>
      <c r="V578">
        <f>ROUND((108/100)*ROUND(Source!CS503*Source!I503, 2), 2)</f>
        <v>0</v>
      </c>
    </row>
    <row r="579" spans="1:22" ht="14.25" x14ac:dyDescent="0.2">
      <c r="A579" s="18"/>
      <c r="B579" s="18"/>
      <c r="C579" s="18" t="s">
        <v>461</v>
      </c>
      <c r="D579" s="19"/>
      <c r="E579" s="9"/>
      <c r="F579" s="21">
        <f>Source!AO503</f>
        <v>14819.76</v>
      </c>
      <c r="G579" s="20" t="str">
        <f>Source!DG503</f>
        <v/>
      </c>
      <c r="H579" s="9">
        <f>Source!AV503</f>
        <v>1</v>
      </c>
      <c r="I579" s="9">
        <f>IF(Source!BA503&lt;&gt; 0, Source!BA503, 1)</f>
        <v>1</v>
      </c>
      <c r="J579" s="21">
        <f>Source!S503</f>
        <v>14819.76</v>
      </c>
      <c r="K579" s="21"/>
    </row>
    <row r="580" spans="1:22" ht="14.25" x14ac:dyDescent="0.2">
      <c r="A580" s="18"/>
      <c r="B580" s="18"/>
      <c r="C580" s="18" t="s">
        <v>464</v>
      </c>
      <c r="D580" s="19"/>
      <c r="E580" s="9"/>
      <c r="F580" s="21">
        <f>Source!AL503</f>
        <v>205.53</v>
      </c>
      <c r="G580" s="20" t="str">
        <f>Source!DD503</f>
        <v/>
      </c>
      <c r="H580" s="9">
        <f>Source!AW503</f>
        <v>1</v>
      </c>
      <c r="I580" s="9">
        <f>IF(Source!BC503&lt;&gt; 0, Source!BC503, 1)</f>
        <v>1</v>
      </c>
      <c r="J580" s="21">
        <f>Source!P503</f>
        <v>205.53</v>
      </c>
      <c r="K580" s="21"/>
    </row>
    <row r="581" spans="1:22" ht="14.25" x14ac:dyDescent="0.2">
      <c r="A581" s="18"/>
      <c r="B581" s="18"/>
      <c r="C581" s="18" t="s">
        <v>465</v>
      </c>
      <c r="D581" s="19" t="s">
        <v>466</v>
      </c>
      <c r="E581" s="9">
        <f>Source!AT503</f>
        <v>70</v>
      </c>
      <c r="F581" s="21"/>
      <c r="G581" s="20"/>
      <c r="H581" s="9"/>
      <c r="I581" s="9"/>
      <c r="J581" s="21">
        <f>SUM(R578:R580)</f>
        <v>10373.83</v>
      </c>
      <c r="K581" s="21"/>
    </row>
    <row r="582" spans="1:22" ht="14.25" x14ac:dyDescent="0.2">
      <c r="A582" s="18"/>
      <c r="B582" s="18"/>
      <c r="C582" s="18" t="s">
        <v>467</v>
      </c>
      <c r="D582" s="19" t="s">
        <v>466</v>
      </c>
      <c r="E582" s="9">
        <f>Source!AU503</f>
        <v>10</v>
      </c>
      <c r="F582" s="21"/>
      <c r="G582" s="20"/>
      <c r="H582" s="9"/>
      <c r="I582" s="9"/>
      <c r="J582" s="21">
        <f>SUM(T578:T581)</f>
        <v>1481.98</v>
      </c>
      <c r="K582" s="21"/>
    </row>
    <row r="583" spans="1:22" ht="14.25" x14ac:dyDescent="0.2">
      <c r="A583" s="18"/>
      <c r="B583" s="18"/>
      <c r="C583" s="18" t="s">
        <v>469</v>
      </c>
      <c r="D583" s="19" t="s">
        <v>470</v>
      </c>
      <c r="E583" s="9">
        <f>Source!AQ503</f>
        <v>24</v>
      </c>
      <c r="F583" s="21"/>
      <c r="G583" s="20" t="str">
        <f>Source!DI503</f>
        <v/>
      </c>
      <c r="H583" s="9">
        <f>Source!AV503</f>
        <v>1</v>
      </c>
      <c r="I583" s="9"/>
      <c r="J583" s="21"/>
      <c r="K583" s="21">
        <f>Source!U503</f>
        <v>24</v>
      </c>
    </row>
    <row r="584" spans="1:22" ht="15" x14ac:dyDescent="0.25">
      <c r="A584" s="26"/>
      <c r="B584" s="26"/>
      <c r="C584" s="26"/>
      <c r="D584" s="26"/>
      <c r="E584" s="26"/>
      <c r="F584" s="26"/>
      <c r="G584" s="26"/>
      <c r="H584" s="26"/>
      <c r="I584" s="53">
        <f>J579+J580+J581+J582</f>
        <v>26881.100000000002</v>
      </c>
      <c r="J584" s="53"/>
      <c r="K584" s="27">
        <f>IF(Source!I503&lt;&gt;0, ROUND(I584/Source!I503, 2), 0)</f>
        <v>26881.1</v>
      </c>
      <c r="P584" s="24">
        <f>I584</f>
        <v>26881.100000000002</v>
      </c>
    </row>
    <row r="585" spans="1:22" ht="57" x14ac:dyDescent="0.2">
      <c r="A585" s="18">
        <v>58</v>
      </c>
      <c r="B585" s="18" t="str">
        <f>Source!F506</f>
        <v>1.21-2303-50-1/1</v>
      </c>
      <c r="C585" s="18" t="str">
        <f>Source!G506</f>
        <v>Техническое обслуживание  конвектора электрического настенного крепления, с механическим термостатом, мощность до 2,0 кВт</v>
      </c>
      <c r="D585" s="19" t="str">
        <f>Source!H506</f>
        <v>шт.</v>
      </c>
      <c r="E585" s="9">
        <f>Source!I506</f>
        <v>2</v>
      </c>
      <c r="F585" s="21"/>
      <c r="G585" s="20"/>
      <c r="H585" s="9"/>
      <c r="I585" s="9"/>
      <c r="J585" s="21"/>
      <c r="K585" s="21"/>
      <c r="Q585">
        <f>ROUND((Source!BZ506/100)*ROUND((Source!AF506*Source!AV506)*Source!I506, 2), 2)</f>
        <v>121.03</v>
      </c>
      <c r="R585">
        <f>Source!X506</f>
        <v>121.03</v>
      </c>
      <c r="S585">
        <f>ROUND((Source!CA506/100)*ROUND((Source!AF506*Source!AV506)*Source!I506, 2), 2)</f>
        <v>17.29</v>
      </c>
      <c r="T585">
        <f>Source!Y506</f>
        <v>17.29</v>
      </c>
      <c r="U585">
        <f>ROUND((175/100)*ROUND((Source!AE506*Source!AV506)*Source!I506, 2), 2)</f>
        <v>0</v>
      </c>
      <c r="V585">
        <f>ROUND((108/100)*ROUND(Source!CS506*Source!I506, 2), 2)</f>
        <v>0</v>
      </c>
    </row>
    <row r="586" spans="1:22" x14ac:dyDescent="0.2">
      <c r="C586" s="22" t="str">
        <f>"Объем: "&amp;Source!I506&amp;"=2*"&amp;"1"</f>
        <v>Объем: 2=2*1</v>
      </c>
    </row>
    <row r="587" spans="1:22" ht="14.25" x14ac:dyDescent="0.2">
      <c r="A587" s="18"/>
      <c r="B587" s="18"/>
      <c r="C587" s="18" t="s">
        <v>461</v>
      </c>
      <c r="D587" s="19"/>
      <c r="E587" s="9"/>
      <c r="F587" s="21">
        <f>Source!AO506</f>
        <v>86.45</v>
      </c>
      <c r="G587" s="20" t="str">
        <f>Source!DG506</f>
        <v/>
      </c>
      <c r="H587" s="9">
        <f>Source!AV506</f>
        <v>1</v>
      </c>
      <c r="I587" s="9">
        <f>IF(Source!BA506&lt;&gt; 0, Source!BA506, 1)</f>
        <v>1</v>
      </c>
      <c r="J587" s="21">
        <f>Source!S506</f>
        <v>172.9</v>
      </c>
      <c r="K587" s="21"/>
    </row>
    <row r="588" spans="1:22" ht="14.25" x14ac:dyDescent="0.2">
      <c r="A588" s="18"/>
      <c r="B588" s="18"/>
      <c r="C588" s="18" t="s">
        <v>462</v>
      </c>
      <c r="D588" s="19"/>
      <c r="E588" s="9"/>
      <c r="F588" s="21">
        <f>Source!AM506</f>
        <v>0.23</v>
      </c>
      <c r="G588" s="20" t="str">
        <f>Source!DE506</f>
        <v/>
      </c>
      <c r="H588" s="9">
        <f>Source!AV506</f>
        <v>1</v>
      </c>
      <c r="I588" s="9">
        <f>IF(Source!BB506&lt;&gt; 0, Source!BB506, 1)</f>
        <v>1</v>
      </c>
      <c r="J588" s="21">
        <f>Source!Q506</f>
        <v>0.46</v>
      </c>
      <c r="K588" s="21"/>
    </row>
    <row r="589" spans="1:22" ht="14.25" x14ac:dyDescent="0.2">
      <c r="A589" s="18"/>
      <c r="B589" s="18"/>
      <c r="C589" s="18" t="s">
        <v>464</v>
      </c>
      <c r="D589" s="19"/>
      <c r="E589" s="9"/>
      <c r="F589" s="21">
        <f>Source!AL506</f>
        <v>2.2000000000000002</v>
      </c>
      <c r="G589" s="20" t="str">
        <f>Source!DD506</f>
        <v/>
      </c>
      <c r="H589" s="9">
        <f>Source!AW506</f>
        <v>1</v>
      </c>
      <c r="I589" s="9">
        <f>IF(Source!BC506&lt;&gt; 0, Source!BC506, 1)</f>
        <v>1</v>
      </c>
      <c r="J589" s="21">
        <f>Source!P506</f>
        <v>4.4000000000000004</v>
      </c>
      <c r="K589" s="21"/>
    </row>
    <row r="590" spans="1:22" ht="14.25" x14ac:dyDescent="0.2">
      <c r="A590" s="18"/>
      <c r="B590" s="18"/>
      <c r="C590" s="18" t="s">
        <v>465</v>
      </c>
      <c r="D590" s="19" t="s">
        <v>466</v>
      </c>
      <c r="E590" s="9">
        <f>Source!AT506</f>
        <v>70</v>
      </c>
      <c r="F590" s="21"/>
      <c r="G590" s="20"/>
      <c r="H590" s="9"/>
      <c r="I590" s="9"/>
      <c r="J590" s="21">
        <f>SUM(R585:R589)</f>
        <v>121.03</v>
      </c>
      <c r="K590" s="21"/>
    </row>
    <row r="591" spans="1:22" ht="14.25" x14ac:dyDescent="0.2">
      <c r="A591" s="18"/>
      <c r="B591" s="18"/>
      <c r="C591" s="18" t="s">
        <v>467</v>
      </c>
      <c r="D591" s="19" t="s">
        <v>466</v>
      </c>
      <c r="E591" s="9">
        <f>Source!AU506</f>
        <v>10</v>
      </c>
      <c r="F591" s="21"/>
      <c r="G591" s="20"/>
      <c r="H591" s="9"/>
      <c r="I591" s="9"/>
      <c r="J591" s="21">
        <f>SUM(T585:T590)</f>
        <v>17.29</v>
      </c>
      <c r="K591" s="21"/>
    </row>
    <row r="592" spans="1:22" ht="14.25" x14ac:dyDescent="0.2">
      <c r="A592" s="18"/>
      <c r="B592" s="18"/>
      <c r="C592" s="18" t="s">
        <v>469</v>
      </c>
      <c r="D592" s="19" t="s">
        <v>470</v>
      </c>
      <c r="E592" s="9">
        <f>Source!AQ506</f>
        <v>0.14000000000000001</v>
      </c>
      <c r="F592" s="21"/>
      <c r="G592" s="20" t="str">
        <f>Source!DI506</f>
        <v/>
      </c>
      <c r="H592" s="9">
        <f>Source!AV506</f>
        <v>1</v>
      </c>
      <c r="I592" s="9"/>
      <c r="J592" s="21"/>
      <c r="K592" s="21">
        <f>Source!U506</f>
        <v>0.28000000000000003</v>
      </c>
    </row>
    <row r="593" spans="1:22" ht="15" x14ac:dyDescent="0.25">
      <c r="A593" s="26"/>
      <c r="B593" s="26"/>
      <c r="C593" s="26"/>
      <c r="D593" s="26"/>
      <c r="E593" s="26"/>
      <c r="F593" s="26"/>
      <c r="G593" s="26"/>
      <c r="H593" s="26"/>
      <c r="I593" s="53">
        <f>J587+J588+J589+J590+J591</f>
        <v>316.08000000000004</v>
      </c>
      <c r="J593" s="53"/>
      <c r="K593" s="27">
        <f>IF(Source!I506&lt;&gt;0, ROUND(I593/Source!I506, 2), 0)</f>
        <v>158.04</v>
      </c>
      <c r="P593" s="24">
        <f>I593</f>
        <v>316.08000000000004</v>
      </c>
    </row>
    <row r="594" spans="1:22" ht="165" x14ac:dyDescent="0.2">
      <c r="A594" s="18">
        <v>59</v>
      </c>
      <c r="B594" s="18" t="s">
        <v>473</v>
      </c>
      <c r="C594" s="18" t="s">
        <v>474</v>
      </c>
      <c r="D594" s="19" t="str">
        <f>Source!H514</f>
        <v>шт.</v>
      </c>
      <c r="E594" s="9">
        <f>Source!I514</f>
        <v>3</v>
      </c>
      <c r="F594" s="21"/>
      <c r="G594" s="20"/>
      <c r="H594" s="9"/>
      <c r="I594" s="9"/>
      <c r="J594" s="21"/>
      <c r="K594" s="21"/>
      <c r="Q594">
        <f>ROUND((Source!BZ514/100)*ROUND((Source!AF514*Source!AV514)*Source!I514, 2), 2)</f>
        <v>368.33</v>
      </c>
      <c r="R594">
        <f>Source!X514</f>
        <v>368.33</v>
      </c>
      <c r="S594">
        <f>ROUND((Source!CA514/100)*ROUND((Source!AF514*Source!AV514)*Source!I514, 2), 2)</f>
        <v>52.62</v>
      </c>
      <c r="T594">
        <f>Source!Y514</f>
        <v>52.62</v>
      </c>
      <c r="U594">
        <f>ROUND((175/100)*ROUND((Source!AE514*Source!AV514)*Source!I514, 2), 2)</f>
        <v>0</v>
      </c>
      <c r="V594">
        <f>ROUND((108/100)*ROUND(Source!CS514*Source!I514, 2), 2)</f>
        <v>0</v>
      </c>
    </row>
    <row r="595" spans="1:22" x14ac:dyDescent="0.2">
      <c r="C595" s="22" t="str">
        <f>"Объем: "&amp;Source!I514&amp;"=(3)*"&amp;"1"</f>
        <v>Объем: 3=(3)*1</v>
      </c>
    </row>
    <row r="596" spans="1:22" ht="14.25" x14ac:dyDescent="0.2">
      <c r="A596" s="18"/>
      <c r="B596" s="18"/>
      <c r="C596" s="18" t="s">
        <v>461</v>
      </c>
      <c r="D596" s="19"/>
      <c r="E596" s="9"/>
      <c r="F596" s="21">
        <f>Source!AO514</f>
        <v>168.65</v>
      </c>
      <c r="G596" s="20" t="str">
        <f>Source!DG514</f>
        <v>)*1,04</v>
      </c>
      <c r="H596" s="9">
        <f>Source!AV514</f>
        <v>1</v>
      </c>
      <c r="I596" s="9">
        <f>IF(Source!BA514&lt;&gt; 0, Source!BA514, 1)</f>
        <v>1</v>
      </c>
      <c r="J596" s="21">
        <f>Source!S514</f>
        <v>526.19000000000005</v>
      </c>
      <c r="K596" s="21"/>
    </row>
    <row r="597" spans="1:22" ht="14.25" x14ac:dyDescent="0.2">
      <c r="A597" s="18"/>
      <c r="B597" s="18"/>
      <c r="C597" s="18" t="s">
        <v>464</v>
      </c>
      <c r="D597" s="19"/>
      <c r="E597" s="9"/>
      <c r="F597" s="21">
        <f>Source!AL514</f>
        <v>0.63</v>
      </c>
      <c r="G597" s="20" t="str">
        <f>Source!DD514</f>
        <v/>
      </c>
      <c r="H597" s="9">
        <f>Source!AW514</f>
        <v>1</v>
      </c>
      <c r="I597" s="9">
        <f>IF(Source!BC514&lt;&gt; 0, Source!BC514, 1)</f>
        <v>1</v>
      </c>
      <c r="J597" s="21">
        <f>Source!P514</f>
        <v>1.89</v>
      </c>
      <c r="K597" s="21"/>
    </row>
    <row r="598" spans="1:22" ht="14.25" x14ac:dyDescent="0.2">
      <c r="A598" s="18"/>
      <c r="B598" s="18"/>
      <c r="C598" s="18" t="s">
        <v>465</v>
      </c>
      <c r="D598" s="19" t="s">
        <v>466</v>
      </c>
      <c r="E598" s="9">
        <f>Source!AT514</f>
        <v>70</v>
      </c>
      <c r="F598" s="21"/>
      <c r="G598" s="20"/>
      <c r="H598" s="9"/>
      <c r="I598" s="9"/>
      <c r="J598" s="21">
        <f>SUM(R594:R597)</f>
        <v>368.33</v>
      </c>
      <c r="K598" s="21"/>
    </row>
    <row r="599" spans="1:22" ht="14.25" x14ac:dyDescent="0.2">
      <c r="A599" s="18"/>
      <c r="B599" s="18"/>
      <c r="C599" s="18" t="s">
        <v>467</v>
      </c>
      <c r="D599" s="19" t="s">
        <v>466</v>
      </c>
      <c r="E599" s="9">
        <f>Source!AU514</f>
        <v>10</v>
      </c>
      <c r="F599" s="21"/>
      <c r="G599" s="20"/>
      <c r="H599" s="9"/>
      <c r="I599" s="9"/>
      <c r="J599" s="21">
        <f>SUM(T594:T598)</f>
        <v>52.62</v>
      </c>
      <c r="K599" s="21"/>
    </row>
    <row r="600" spans="1:22" ht="14.25" x14ac:dyDescent="0.2">
      <c r="A600" s="18"/>
      <c r="B600" s="18"/>
      <c r="C600" s="18" t="s">
        <v>469</v>
      </c>
      <c r="D600" s="19" t="s">
        <v>470</v>
      </c>
      <c r="E600" s="9">
        <f>Source!AQ514</f>
        <v>0.3</v>
      </c>
      <c r="F600" s="21"/>
      <c r="G600" s="20" t="str">
        <f>Source!DI514</f>
        <v>)*1,04</v>
      </c>
      <c r="H600" s="9">
        <f>Source!AV514</f>
        <v>1</v>
      </c>
      <c r="I600" s="9"/>
      <c r="J600" s="21"/>
      <c r="K600" s="21">
        <f>Source!U514</f>
        <v>0.93599999999999994</v>
      </c>
    </row>
    <row r="601" spans="1:22" ht="15" x14ac:dyDescent="0.25">
      <c r="A601" s="26"/>
      <c r="B601" s="26"/>
      <c r="C601" s="26"/>
      <c r="D601" s="26"/>
      <c r="E601" s="26"/>
      <c r="F601" s="26"/>
      <c r="G601" s="26"/>
      <c r="H601" s="26"/>
      <c r="I601" s="53">
        <f>J596+J597+J598+J599</f>
        <v>949.03000000000009</v>
      </c>
      <c r="J601" s="53"/>
      <c r="K601" s="27">
        <f>IF(Source!I514&lt;&gt;0, ROUND(I601/Source!I514, 2), 0)</f>
        <v>316.33999999999997</v>
      </c>
      <c r="P601" s="24">
        <f>I601</f>
        <v>949.03000000000009</v>
      </c>
    </row>
    <row r="602" spans="1:22" ht="108" x14ac:dyDescent="0.2">
      <c r="A602" s="18">
        <v>60</v>
      </c>
      <c r="B602" s="18" t="s">
        <v>475</v>
      </c>
      <c r="C602" s="18" t="s">
        <v>476</v>
      </c>
      <c r="D602" s="19" t="str">
        <f>Source!H515</f>
        <v>шт.</v>
      </c>
      <c r="E602" s="9">
        <f>Source!I515</f>
        <v>3</v>
      </c>
      <c r="F602" s="21"/>
      <c r="G602" s="20"/>
      <c r="H602" s="9"/>
      <c r="I602" s="9"/>
      <c r="J602" s="21"/>
      <c r="K602" s="21"/>
      <c r="Q602">
        <f>ROUND((Source!BZ515/100)*ROUND((Source!AF515*Source!AV515)*Source!I515, 2), 2)</f>
        <v>491.11</v>
      </c>
      <c r="R602">
        <f>Source!X515</f>
        <v>491.11</v>
      </c>
      <c r="S602">
        <f>ROUND((Source!CA515/100)*ROUND((Source!AF515*Source!AV515)*Source!I515, 2), 2)</f>
        <v>70.16</v>
      </c>
      <c r="T602">
        <f>Source!Y515</f>
        <v>70.16</v>
      </c>
      <c r="U602">
        <f>ROUND((175/100)*ROUND((Source!AE515*Source!AV515)*Source!I515, 2), 2)</f>
        <v>0</v>
      </c>
      <c r="V602">
        <f>ROUND((108/100)*ROUND(Source!CS515*Source!I515, 2), 2)</f>
        <v>0</v>
      </c>
    </row>
    <row r="603" spans="1:22" x14ac:dyDescent="0.2">
      <c r="C603" s="22" t="str">
        <f>"Объем: "&amp;Source!I515&amp;"=3*"&amp;"1"</f>
        <v>Объем: 3=3*1</v>
      </c>
    </row>
    <row r="604" spans="1:22" ht="14.25" x14ac:dyDescent="0.2">
      <c r="A604" s="18"/>
      <c r="B604" s="18"/>
      <c r="C604" s="18" t="s">
        <v>461</v>
      </c>
      <c r="D604" s="19"/>
      <c r="E604" s="9"/>
      <c r="F604" s="21">
        <f>Source!AO515</f>
        <v>224.87</v>
      </c>
      <c r="G604" s="20" t="str">
        <f>Source!DG515</f>
        <v>)*1,04</v>
      </c>
      <c r="H604" s="9">
        <f>Source!AV515</f>
        <v>1</v>
      </c>
      <c r="I604" s="9">
        <f>IF(Source!BA515&lt;&gt; 0, Source!BA515, 1)</f>
        <v>1</v>
      </c>
      <c r="J604" s="21">
        <f>Source!S515</f>
        <v>701.59</v>
      </c>
      <c r="K604" s="21"/>
    </row>
    <row r="605" spans="1:22" ht="14.25" x14ac:dyDescent="0.2">
      <c r="A605" s="18"/>
      <c r="B605" s="18"/>
      <c r="C605" s="18" t="s">
        <v>464</v>
      </c>
      <c r="D605" s="19"/>
      <c r="E605" s="9"/>
      <c r="F605" s="21">
        <f>Source!AL515</f>
        <v>1.26</v>
      </c>
      <c r="G605" s="20" t="str">
        <f>Source!DD515</f>
        <v/>
      </c>
      <c r="H605" s="9">
        <f>Source!AW515</f>
        <v>1</v>
      </c>
      <c r="I605" s="9">
        <f>IF(Source!BC515&lt;&gt; 0, Source!BC515, 1)</f>
        <v>1</v>
      </c>
      <c r="J605" s="21">
        <f>Source!P515</f>
        <v>3.78</v>
      </c>
      <c r="K605" s="21"/>
    </row>
    <row r="606" spans="1:22" ht="14.25" x14ac:dyDescent="0.2">
      <c r="A606" s="18"/>
      <c r="B606" s="18"/>
      <c r="C606" s="18" t="s">
        <v>465</v>
      </c>
      <c r="D606" s="19" t="s">
        <v>466</v>
      </c>
      <c r="E606" s="9">
        <f>Source!AT515</f>
        <v>70</v>
      </c>
      <c r="F606" s="21"/>
      <c r="G606" s="20"/>
      <c r="H606" s="9"/>
      <c r="I606" s="9"/>
      <c r="J606" s="21">
        <f>SUM(R602:R605)</f>
        <v>491.11</v>
      </c>
      <c r="K606" s="21"/>
    </row>
    <row r="607" spans="1:22" ht="14.25" x14ac:dyDescent="0.2">
      <c r="A607" s="18"/>
      <c r="B607" s="18"/>
      <c r="C607" s="18" t="s">
        <v>467</v>
      </c>
      <c r="D607" s="19" t="s">
        <v>466</v>
      </c>
      <c r="E607" s="9">
        <f>Source!AU515</f>
        <v>10</v>
      </c>
      <c r="F607" s="21"/>
      <c r="G607" s="20"/>
      <c r="H607" s="9"/>
      <c r="I607" s="9"/>
      <c r="J607" s="21">
        <f>SUM(T602:T606)</f>
        <v>70.16</v>
      </c>
      <c r="K607" s="21"/>
    </row>
    <row r="608" spans="1:22" ht="14.25" x14ac:dyDescent="0.2">
      <c r="A608" s="18"/>
      <c r="B608" s="18"/>
      <c r="C608" s="18" t="s">
        <v>469</v>
      </c>
      <c r="D608" s="19" t="s">
        <v>470</v>
      </c>
      <c r="E608" s="9">
        <f>Source!AQ515</f>
        <v>0.4</v>
      </c>
      <c r="F608" s="21"/>
      <c r="G608" s="20" t="str">
        <f>Source!DI515</f>
        <v>)*1,04</v>
      </c>
      <c r="H608" s="9">
        <f>Source!AV515</f>
        <v>1</v>
      </c>
      <c r="I608" s="9"/>
      <c r="J608" s="21"/>
      <c r="K608" s="21">
        <f>Source!U515</f>
        <v>1.2480000000000002</v>
      </c>
    </row>
    <row r="609" spans="1:22" ht="15" x14ac:dyDescent="0.25">
      <c r="A609" s="26"/>
      <c r="B609" s="26"/>
      <c r="C609" s="26"/>
      <c r="D609" s="26"/>
      <c r="E609" s="26"/>
      <c r="F609" s="26"/>
      <c r="G609" s="26"/>
      <c r="H609" s="26"/>
      <c r="I609" s="53">
        <f>J604+J605+J606+J607</f>
        <v>1266.6400000000001</v>
      </c>
      <c r="J609" s="53"/>
      <c r="K609" s="27">
        <f>IF(Source!I515&lt;&gt;0, ROUND(I609/Source!I515, 2), 0)</f>
        <v>422.21</v>
      </c>
      <c r="P609" s="24">
        <f>I609</f>
        <v>1266.6400000000001</v>
      </c>
    </row>
    <row r="610" spans="1:22" ht="71.25" x14ac:dyDescent="0.2">
      <c r="A610" s="18">
        <v>61</v>
      </c>
      <c r="B610" s="18" t="str">
        <f>Source!F516</f>
        <v>1.20-2103-20-1/1</v>
      </c>
      <c r="C610" s="18" t="str">
        <f>Source!G516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610" s="19" t="str">
        <f>Source!H516</f>
        <v>шт.</v>
      </c>
      <c r="E610" s="9">
        <f>Source!I516</f>
        <v>3</v>
      </c>
      <c r="F610" s="21"/>
      <c r="G610" s="20"/>
      <c r="H610" s="9"/>
      <c r="I610" s="9"/>
      <c r="J610" s="21"/>
      <c r="K610" s="21"/>
      <c r="Q610">
        <f>ROUND((Source!BZ516/100)*ROUND((Source!AF516*Source!AV516)*Source!I516, 2), 2)</f>
        <v>1227.74</v>
      </c>
      <c r="R610">
        <f>Source!X516</f>
        <v>1227.74</v>
      </c>
      <c r="S610">
        <f>ROUND((Source!CA516/100)*ROUND((Source!AF516*Source!AV516)*Source!I516, 2), 2)</f>
        <v>175.39</v>
      </c>
      <c r="T610">
        <f>Source!Y516</f>
        <v>175.39</v>
      </c>
      <c r="U610">
        <f>ROUND((175/100)*ROUND((Source!AE516*Source!AV516)*Source!I516, 2), 2)</f>
        <v>0</v>
      </c>
      <c r="V610">
        <f>ROUND((108/100)*ROUND(Source!CS516*Source!I516, 2), 2)</f>
        <v>0</v>
      </c>
    </row>
    <row r="611" spans="1:22" x14ac:dyDescent="0.2">
      <c r="C611" s="22" t="str">
        <f>"Объем: "&amp;Source!I516&amp;"=3*"&amp;"1"</f>
        <v>Объем: 3=3*1</v>
      </c>
    </row>
    <row r="612" spans="1:22" ht="14.25" x14ac:dyDescent="0.2">
      <c r="A612" s="18"/>
      <c r="B612" s="18"/>
      <c r="C612" s="18" t="s">
        <v>461</v>
      </c>
      <c r="D612" s="19"/>
      <c r="E612" s="9"/>
      <c r="F612" s="21">
        <f>Source!AO516</f>
        <v>146.16</v>
      </c>
      <c r="G612" s="20" t="str">
        <f>Source!DG516</f>
        <v>)*4</v>
      </c>
      <c r="H612" s="9">
        <f>Source!AV516</f>
        <v>1</v>
      </c>
      <c r="I612" s="9">
        <f>IF(Source!BA516&lt;&gt; 0, Source!BA516, 1)</f>
        <v>1</v>
      </c>
      <c r="J612" s="21">
        <f>Source!S516</f>
        <v>1753.92</v>
      </c>
      <c r="K612" s="21"/>
    </row>
    <row r="613" spans="1:22" ht="14.25" x14ac:dyDescent="0.2">
      <c r="A613" s="18"/>
      <c r="B613" s="18"/>
      <c r="C613" s="18" t="s">
        <v>464</v>
      </c>
      <c r="D613" s="19"/>
      <c r="E613" s="9"/>
      <c r="F613" s="21">
        <f>Source!AL516</f>
        <v>1.26</v>
      </c>
      <c r="G613" s="20" t="str">
        <f>Source!DD516</f>
        <v>)*4</v>
      </c>
      <c r="H613" s="9">
        <f>Source!AW516</f>
        <v>1</v>
      </c>
      <c r="I613" s="9">
        <f>IF(Source!BC516&lt;&gt; 0, Source!BC516, 1)</f>
        <v>1</v>
      </c>
      <c r="J613" s="21">
        <f>Source!P516</f>
        <v>15.12</v>
      </c>
      <c r="K613" s="21"/>
    </row>
    <row r="614" spans="1:22" ht="14.25" x14ac:dyDescent="0.2">
      <c r="A614" s="18"/>
      <c r="B614" s="18"/>
      <c r="C614" s="18" t="s">
        <v>465</v>
      </c>
      <c r="D614" s="19" t="s">
        <v>466</v>
      </c>
      <c r="E614" s="9">
        <f>Source!AT516</f>
        <v>70</v>
      </c>
      <c r="F614" s="21"/>
      <c r="G614" s="20"/>
      <c r="H614" s="9"/>
      <c r="I614" s="9"/>
      <c r="J614" s="21">
        <f>SUM(R610:R613)</f>
        <v>1227.74</v>
      </c>
      <c r="K614" s="21"/>
    </row>
    <row r="615" spans="1:22" ht="14.25" x14ac:dyDescent="0.2">
      <c r="A615" s="18"/>
      <c r="B615" s="18"/>
      <c r="C615" s="18" t="s">
        <v>467</v>
      </c>
      <c r="D615" s="19" t="s">
        <v>466</v>
      </c>
      <c r="E615" s="9">
        <f>Source!AU516</f>
        <v>10</v>
      </c>
      <c r="F615" s="21"/>
      <c r="G615" s="20"/>
      <c r="H615" s="9"/>
      <c r="I615" s="9"/>
      <c r="J615" s="21">
        <f>SUM(T610:T614)</f>
        <v>175.39</v>
      </c>
      <c r="K615" s="21"/>
    </row>
    <row r="616" spans="1:22" ht="14.25" x14ac:dyDescent="0.2">
      <c r="A616" s="18"/>
      <c r="B616" s="18"/>
      <c r="C616" s="18" t="s">
        <v>469</v>
      </c>
      <c r="D616" s="19" t="s">
        <v>470</v>
      </c>
      <c r="E616" s="9">
        <f>Source!AQ516</f>
        <v>0.26</v>
      </c>
      <c r="F616" s="21"/>
      <c r="G616" s="20" t="str">
        <f>Source!DI516</f>
        <v>)*4</v>
      </c>
      <c r="H616" s="9">
        <f>Source!AV516</f>
        <v>1</v>
      </c>
      <c r="I616" s="9"/>
      <c r="J616" s="21"/>
      <c r="K616" s="21">
        <f>Source!U516</f>
        <v>3.12</v>
      </c>
    </row>
    <row r="617" spans="1:22" ht="15" x14ac:dyDescent="0.25">
      <c r="A617" s="26"/>
      <c r="B617" s="26"/>
      <c r="C617" s="26"/>
      <c r="D617" s="26"/>
      <c r="E617" s="26"/>
      <c r="F617" s="26"/>
      <c r="G617" s="26"/>
      <c r="H617" s="26"/>
      <c r="I617" s="53">
        <f>J612+J613+J614+J615</f>
        <v>3172.1699999999996</v>
      </c>
      <c r="J617" s="53"/>
      <c r="K617" s="27">
        <f>IF(Source!I516&lt;&gt;0, ROUND(I617/Source!I516, 2), 0)</f>
        <v>1057.3900000000001</v>
      </c>
      <c r="P617" s="24">
        <f>I617</f>
        <v>3172.1699999999996</v>
      </c>
    </row>
    <row r="618" spans="1:22" ht="28.5" x14ac:dyDescent="0.2">
      <c r="A618" s="18">
        <v>62</v>
      </c>
      <c r="B618" s="18" t="str">
        <f>Source!F517</f>
        <v>1.18-2303-3-1/1</v>
      </c>
      <c r="C618" s="18" t="str">
        <f>Source!G517</f>
        <v>Техническое обслуживание канального вентилятора - ежемесячное</v>
      </c>
      <c r="D618" s="19" t="str">
        <f>Source!H517</f>
        <v>шт.</v>
      </c>
      <c r="E618" s="9">
        <f>Source!I517</f>
        <v>2</v>
      </c>
      <c r="F618" s="21"/>
      <c r="G618" s="20"/>
      <c r="H618" s="9"/>
      <c r="I618" s="9"/>
      <c r="J618" s="21"/>
      <c r="K618" s="21"/>
      <c r="Q618">
        <f>ROUND((Source!BZ517/100)*ROUND((Source!AF517*Source!AV517)*Source!I517, 2), 2)</f>
        <v>1703.07</v>
      </c>
      <c r="R618">
        <f>Source!X517</f>
        <v>1703.07</v>
      </c>
      <c r="S618">
        <f>ROUND((Source!CA517/100)*ROUND((Source!AF517*Source!AV517)*Source!I517, 2), 2)</f>
        <v>243.3</v>
      </c>
      <c r="T618">
        <f>Source!Y517</f>
        <v>243.3</v>
      </c>
      <c r="U618">
        <f>ROUND((175/100)*ROUND((Source!AE517*Source!AV517)*Source!I517, 2), 2)</f>
        <v>0</v>
      </c>
      <c r="V618">
        <f>ROUND((108/100)*ROUND(Source!CS517*Source!I517, 2), 2)</f>
        <v>0</v>
      </c>
    </row>
    <row r="619" spans="1:22" x14ac:dyDescent="0.2">
      <c r="C619" s="22" t="str">
        <f>"Объем: "&amp;Source!I517&amp;"=2*"&amp;"1"</f>
        <v>Объем: 2=2*1</v>
      </c>
    </row>
    <row r="620" spans="1:22" ht="14.25" x14ac:dyDescent="0.2">
      <c r="A620" s="18"/>
      <c r="B620" s="18"/>
      <c r="C620" s="18" t="s">
        <v>461</v>
      </c>
      <c r="D620" s="19"/>
      <c r="E620" s="9"/>
      <c r="F620" s="21">
        <f>Source!AO517</f>
        <v>304.12</v>
      </c>
      <c r="G620" s="20" t="str">
        <f>Source!DG517</f>
        <v>)*4</v>
      </c>
      <c r="H620" s="9">
        <f>Source!AV517</f>
        <v>1</v>
      </c>
      <c r="I620" s="9">
        <f>IF(Source!BA517&lt;&gt; 0, Source!BA517, 1)</f>
        <v>1</v>
      </c>
      <c r="J620" s="21">
        <f>Source!S517</f>
        <v>2432.96</v>
      </c>
      <c r="K620" s="21"/>
    </row>
    <row r="621" spans="1:22" ht="14.25" x14ac:dyDescent="0.2">
      <c r="A621" s="18"/>
      <c r="B621" s="18"/>
      <c r="C621" s="18" t="s">
        <v>465</v>
      </c>
      <c r="D621" s="19" t="s">
        <v>466</v>
      </c>
      <c r="E621" s="9">
        <f>Source!AT517</f>
        <v>70</v>
      </c>
      <c r="F621" s="21"/>
      <c r="G621" s="20"/>
      <c r="H621" s="9"/>
      <c r="I621" s="9"/>
      <c r="J621" s="21">
        <f>SUM(R618:R620)</f>
        <v>1703.07</v>
      </c>
      <c r="K621" s="21"/>
    </row>
    <row r="622" spans="1:22" ht="14.25" x14ac:dyDescent="0.2">
      <c r="A622" s="18"/>
      <c r="B622" s="18"/>
      <c r="C622" s="18" t="s">
        <v>467</v>
      </c>
      <c r="D622" s="19" t="s">
        <v>466</v>
      </c>
      <c r="E622" s="9">
        <f>Source!AU517</f>
        <v>10</v>
      </c>
      <c r="F622" s="21"/>
      <c r="G622" s="20"/>
      <c r="H622" s="9"/>
      <c r="I622" s="9"/>
      <c r="J622" s="21">
        <f>SUM(T618:T621)</f>
        <v>243.3</v>
      </c>
      <c r="K622" s="21"/>
    </row>
    <row r="623" spans="1:22" ht="14.25" x14ac:dyDescent="0.2">
      <c r="A623" s="18"/>
      <c r="B623" s="18"/>
      <c r="C623" s="18" t="s">
        <v>469</v>
      </c>
      <c r="D623" s="19" t="s">
        <v>470</v>
      </c>
      <c r="E623" s="9">
        <f>Source!AQ517</f>
        <v>0.5</v>
      </c>
      <c r="F623" s="21"/>
      <c r="G623" s="20" t="str">
        <f>Source!DI517</f>
        <v>)*4</v>
      </c>
      <c r="H623" s="9">
        <f>Source!AV517</f>
        <v>1</v>
      </c>
      <c r="I623" s="9"/>
      <c r="J623" s="21"/>
      <c r="K623" s="21">
        <f>Source!U517</f>
        <v>4</v>
      </c>
    </row>
    <row r="624" spans="1:22" ht="15" x14ac:dyDescent="0.25">
      <c r="A624" s="26"/>
      <c r="B624" s="26"/>
      <c r="C624" s="26"/>
      <c r="D624" s="26"/>
      <c r="E624" s="26"/>
      <c r="F624" s="26"/>
      <c r="G624" s="26"/>
      <c r="H624" s="26"/>
      <c r="I624" s="53">
        <f>J620+J621+J622</f>
        <v>4379.33</v>
      </c>
      <c r="J624" s="53"/>
      <c r="K624" s="27">
        <f>IF(Source!I517&lt;&gt;0, ROUND(I624/Source!I517, 2), 0)</f>
        <v>2189.67</v>
      </c>
      <c r="P624" s="24">
        <f>I624</f>
        <v>4379.33</v>
      </c>
    </row>
    <row r="625" spans="1:22" ht="28.5" x14ac:dyDescent="0.2">
      <c r="A625" s="18">
        <v>63</v>
      </c>
      <c r="B625" s="18" t="str">
        <f>Source!F520</f>
        <v>1.23-2103-6-1/1</v>
      </c>
      <c r="C625" s="18" t="str">
        <f>Source!G520</f>
        <v>Техническое обслуживание выключателей поплавковых</v>
      </c>
      <c r="D625" s="19" t="str">
        <f>Source!H520</f>
        <v>100 шт.</v>
      </c>
      <c r="E625" s="9">
        <f>Source!I520</f>
        <v>0.01</v>
      </c>
      <c r="F625" s="21"/>
      <c r="G625" s="20"/>
      <c r="H625" s="9"/>
      <c r="I625" s="9"/>
      <c r="J625" s="21"/>
      <c r="K625" s="21"/>
      <c r="Q625">
        <f>ROUND((Source!BZ520/100)*ROUND((Source!AF520*Source!AV520)*Source!I520, 2), 2)</f>
        <v>89.94</v>
      </c>
      <c r="R625">
        <f>Source!X520</f>
        <v>89.94</v>
      </c>
      <c r="S625">
        <f>ROUND((Source!CA520/100)*ROUND((Source!AF520*Source!AV520)*Source!I520, 2), 2)</f>
        <v>12.85</v>
      </c>
      <c r="T625">
        <f>Source!Y520</f>
        <v>12.85</v>
      </c>
      <c r="U625">
        <f>ROUND((175/100)*ROUND((Source!AE520*Source!AV520)*Source!I520, 2), 2)</f>
        <v>40.479999999999997</v>
      </c>
      <c r="V625">
        <f>ROUND((108/100)*ROUND(Source!CS520*Source!I520, 2), 2)</f>
        <v>24.98</v>
      </c>
    </row>
    <row r="626" spans="1:22" x14ac:dyDescent="0.2">
      <c r="C626" s="22" t="str">
        <f>"Объем: "&amp;Source!I520&amp;"=(1*"&amp;"1)/"&amp;"100"</f>
        <v>Объем: 0,01=(1*1)/100</v>
      </c>
    </row>
    <row r="627" spans="1:22" ht="14.25" x14ac:dyDescent="0.2">
      <c r="A627" s="18"/>
      <c r="B627" s="18"/>
      <c r="C627" s="18" t="s">
        <v>461</v>
      </c>
      <c r="D627" s="19"/>
      <c r="E627" s="9"/>
      <c r="F627" s="21">
        <f>Source!AO520</f>
        <v>3211.89</v>
      </c>
      <c r="G627" s="20" t="str">
        <f>Source!DG520</f>
        <v>)*4</v>
      </c>
      <c r="H627" s="9">
        <f>Source!AV520</f>
        <v>1</v>
      </c>
      <c r="I627" s="9">
        <f>IF(Source!BA520&lt;&gt; 0, Source!BA520, 1)</f>
        <v>1</v>
      </c>
      <c r="J627" s="21">
        <f>Source!S520</f>
        <v>128.47999999999999</v>
      </c>
      <c r="K627" s="21"/>
    </row>
    <row r="628" spans="1:22" ht="14.25" x14ac:dyDescent="0.2">
      <c r="A628" s="18"/>
      <c r="B628" s="18"/>
      <c r="C628" s="18" t="s">
        <v>462</v>
      </c>
      <c r="D628" s="19"/>
      <c r="E628" s="9"/>
      <c r="F628" s="21">
        <f>Source!AM520</f>
        <v>912.11</v>
      </c>
      <c r="G628" s="20" t="str">
        <f>Source!DE520</f>
        <v>)*4</v>
      </c>
      <c r="H628" s="9">
        <f>Source!AV520</f>
        <v>1</v>
      </c>
      <c r="I628" s="9">
        <f>IF(Source!BB520&lt;&gt; 0, Source!BB520, 1)</f>
        <v>1</v>
      </c>
      <c r="J628" s="21">
        <f>Source!Q520</f>
        <v>36.479999999999997</v>
      </c>
      <c r="K628" s="21"/>
    </row>
    <row r="629" spans="1:22" ht="14.25" x14ac:dyDescent="0.2">
      <c r="A629" s="18"/>
      <c r="B629" s="18"/>
      <c r="C629" s="18" t="s">
        <v>463</v>
      </c>
      <c r="D629" s="19"/>
      <c r="E629" s="9"/>
      <c r="F629" s="21">
        <f>Source!AN520</f>
        <v>578.34</v>
      </c>
      <c r="G629" s="20" t="str">
        <f>Source!DF520</f>
        <v>)*4</v>
      </c>
      <c r="H629" s="9">
        <f>Source!AV520</f>
        <v>1</v>
      </c>
      <c r="I629" s="9">
        <f>IF(Source!BS520&lt;&gt; 0, Source!BS520, 1)</f>
        <v>1</v>
      </c>
      <c r="J629" s="23">
        <f>Source!R520</f>
        <v>23.13</v>
      </c>
      <c r="K629" s="21"/>
    </row>
    <row r="630" spans="1:22" ht="14.25" x14ac:dyDescent="0.2">
      <c r="A630" s="18"/>
      <c r="B630" s="18"/>
      <c r="C630" s="18" t="s">
        <v>464</v>
      </c>
      <c r="D630" s="19"/>
      <c r="E630" s="9"/>
      <c r="F630" s="21">
        <f>Source!AL520</f>
        <v>0.94</v>
      </c>
      <c r="G630" s="20" t="str">
        <f>Source!DD520</f>
        <v>)*4</v>
      </c>
      <c r="H630" s="9">
        <f>Source!AW520</f>
        <v>1</v>
      </c>
      <c r="I630" s="9">
        <f>IF(Source!BC520&lt;&gt; 0, Source!BC520, 1)</f>
        <v>1</v>
      </c>
      <c r="J630" s="21">
        <f>Source!P520</f>
        <v>0.04</v>
      </c>
      <c r="K630" s="21"/>
    </row>
    <row r="631" spans="1:22" ht="14.25" x14ac:dyDescent="0.2">
      <c r="A631" s="18"/>
      <c r="B631" s="18"/>
      <c r="C631" s="18" t="s">
        <v>465</v>
      </c>
      <c r="D631" s="19" t="s">
        <v>466</v>
      </c>
      <c r="E631" s="9">
        <f>Source!AT520</f>
        <v>70</v>
      </c>
      <c r="F631" s="21"/>
      <c r="G631" s="20"/>
      <c r="H631" s="9"/>
      <c r="I631" s="9"/>
      <c r="J631" s="21">
        <f>SUM(R625:R630)</f>
        <v>89.94</v>
      </c>
      <c r="K631" s="21"/>
    </row>
    <row r="632" spans="1:22" ht="14.25" x14ac:dyDescent="0.2">
      <c r="A632" s="18"/>
      <c r="B632" s="18"/>
      <c r="C632" s="18" t="s">
        <v>467</v>
      </c>
      <c r="D632" s="19" t="s">
        <v>466</v>
      </c>
      <c r="E632" s="9">
        <f>Source!AU520</f>
        <v>10</v>
      </c>
      <c r="F632" s="21"/>
      <c r="G632" s="20"/>
      <c r="H632" s="9"/>
      <c r="I632" s="9"/>
      <c r="J632" s="21">
        <f>SUM(T625:T631)</f>
        <v>12.85</v>
      </c>
      <c r="K632" s="21"/>
    </row>
    <row r="633" spans="1:22" ht="14.25" x14ac:dyDescent="0.2">
      <c r="A633" s="18"/>
      <c r="B633" s="18"/>
      <c r="C633" s="18" t="s">
        <v>468</v>
      </c>
      <c r="D633" s="19" t="s">
        <v>466</v>
      </c>
      <c r="E633" s="9">
        <f>108</f>
        <v>108</v>
      </c>
      <c r="F633" s="21"/>
      <c r="G633" s="20"/>
      <c r="H633" s="9"/>
      <c r="I633" s="9"/>
      <c r="J633" s="21">
        <f>SUM(V625:V632)</f>
        <v>24.98</v>
      </c>
      <c r="K633" s="21"/>
    </row>
    <row r="634" spans="1:22" ht="14.25" x14ac:dyDescent="0.2">
      <c r="A634" s="18"/>
      <c r="B634" s="18"/>
      <c r="C634" s="18" t="s">
        <v>469</v>
      </c>
      <c r="D634" s="19" t="s">
        <v>470</v>
      </c>
      <c r="E634" s="9">
        <f>Source!AQ520</f>
        <v>6</v>
      </c>
      <c r="F634" s="21"/>
      <c r="G634" s="20" t="str">
        <f>Source!DI520</f>
        <v>)*4</v>
      </c>
      <c r="H634" s="9">
        <f>Source!AV520</f>
        <v>1</v>
      </c>
      <c r="I634" s="9"/>
      <c r="J634" s="21"/>
      <c r="K634" s="21">
        <f>Source!U520</f>
        <v>0.24</v>
      </c>
    </row>
    <row r="635" spans="1:22" ht="15" x14ac:dyDescent="0.25">
      <c r="A635" s="26"/>
      <c r="B635" s="26"/>
      <c r="C635" s="26"/>
      <c r="D635" s="26"/>
      <c r="E635" s="26"/>
      <c r="F635" s="26"/>
      <c r="G635" s="26"/>
      <c r="H635" s="26"/>
      <c r="I635" s="53">
        <f>J627+J628+J630+J631+J632+J633</f>
        <v>292.77</v>
      </c>
      <c r="J635" s="53"/>
      <c r="K635" s="27">
        <f>IF(Source!I520&lt;&gt;0, ROUND(I635/Source!I520, 2), 0)</f>
        <v>29277</v>
      </c>
      <c r="P635" s="24">
        <f>I635</f>
        <v>292.77</v>
      </c>
    </row>
    <row r="636" spans="1:22" ht="71.25" x14ac:dyDescent="0.2">
      <c r="A636" s="18">
        <v>64</v>
      </c>
      <c r="B636" s="18" t="str">
        <f>Source!F522</f>
        <v>1.21-2303-37-1/1</v>
      </c>
      <c r="C636" s="18" t="str">
        <f>Source!G522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636" s="19" t="str">
        <f>Source!H522</f>
        <v>10 шт.</v>
      </c>
      <c r="E636" s="9">
        <f>Source!I522</f>
        <v>0.9</v>
      </c>
      <c r="F636" s="21"/>
      <c r="G636" s="20"/>
      <c r="H636" s="9"/>
      <c r="I636" s="9"/>
      <c r="J636" s="21"/>
      <c r="K636" s="21"/>
      <c r="Q636">
        <f>ROUND((Source!BZ522/100)*ROUND((Source!AF522*Source!AV522)*Source!I522, 2), 2)</f>
        <v>70.03</v>
      </c>
      <c r="R636">
        <f>Source!X522</f>
        <v>70.03</v>
      </c>
      <c r="S636">
        <f>ROUND((Source!CA522/100)*ROUND((Source!AF522*Source!AV522)*Source!I522, 2), 2)</f>
        <v>10</v>
      </c>
      <c r="T636">
        <f>Source!Y522</f>
        <v>10</v>
      </c>
      <c r="U636">
        <f>ROUND((175/100)*ROUND((Source!AE522*Source!AV522)*Source!I522, 2), 2)</f>
        <v>0</v>
      </c>
      <c r="V636">
        <f>ROUND((108/100)*ROUND(Source!CS522*Source!I522, 2), 2)</f>
        <v>0</v>
      </c>
    </row>
    <row r="637" spans="1:22" x14ac:dyDescent="0.2">
      <c r="C637" s="22" t="str">
        <f>"Объем: "&amp;Source!I522&amp;"=(9*"&amp;"1)/"&amp;"10"</f>
        <v>Объем: 0,9=(9*1)/10</v>
      </c>
    </row>
    <row r="638" spans="1:22" ht="14.25" x14ac:dyDescent="0.2">
      <c r="A638" s="18"/>
      <c r="B638" s="18"/>
      <c r="C638" s="18" t="s">
        <v>461</v>
      </c>
      <c r="D638" s="19"/>
      <c r="E638" s="9"/>
      <c r="F638" s="21">
        <f>Source!AO522</f>
        <v>111.15</v>
      </c>
      <c r="G638" s="20" t="str">
        <f>Source!DG522</f>
        <v/>
      </c>
      <c r="H638" s="9">
        <f>Source!AV522</f>
        <v>1</v>
      </c>
      <c r="I638" s="9">
        <f>IF(Source!BA522&lt;&gt; 0, Source!BA522, 1)</f>
        <v>1</v>
      </c>
      <c r="J638" s="21">
        <f>Source!S522</f>
        <v>100.04</v>
      </c>
      <c r="K638" s="21"/>
    </row>
    <row r="639" spans="1:22" ht="14.25" x14ac:dyDescent="0.2">
      <c r="A639" s="18"/>
      <c r="B639" s="18"/>
      <c r="C639" s="18" t="s">
        <v>464</v>
      </c>
      <c r="D639" s="19"/>
      <c r="E639" s="9"/>
      <c r="F639" s="21">
        <f>Source!AL522</f>
        <v>6.3</v>
      </c>
      <c r="G639" s="20" t="str">
        <f>Source!DD522</f>
        <v/>
      </c>
      <c r="H639" s="9">
        <f>Source!AW522</f>
        <v>1</v>
      </c>
      <c r="I639" s="9">
        <f>IF(Source!BC522&lt;&gt; 0, Source!BC522, 1)</f>
        <v>1</v>
      </c>
      <c r="J639" s="21">
        <f>Source!P522</f>
        <v>5.67</v>
      </c>
      <c r="K639" s="21"/>
    </row>
    <row r="640" spans="1:22" ht="14.25" x14ac:dyDescent="0.2">
      <c r="A640" s="18"/>
      <c r="B640" s="18"/>
      <c r="C640" s="18" t="s">
        <v>465</v>
      </c>
      <c r="D640" s="19" t="s">
        <v>466</v>
      </c>
      <c r="E640" s="9">
        <f>Source!AT522</f>
        <v>70</v>
      </c>
      <c r="F640" s="21"/>
      <c r="G640" s="20"/>
      <c r="H640" s="9"/>
      <c r="I640" s="9"/>
      <c r="J640" s="21">
        <f>SUM(R636:R639)</f>
        <v>70.03</v>
      </c>
      <c r="K640" s="21"/>
    </row>
    <row r="641" spans="1:22" ht="14.25" x14ac:dyDescent="0.2">
      <c r="A641" s="18"/>
      <c r="B641" s="18"/>
      <c r="C641" s="18" t="s">
        <v>467</v>
      </c>
      <c r="D641" s="19" t="s">
        <v>466</v>
      </c>
      <c r="E641" s="9">
        <f>Source!AU522</f>
        <v>10</v>
      </c>
      <c r="F641" s="21"/>
      <c r="G641" s="20"/>
      <c r="H641" s="9"/>
      <c r="I641" s="9"/>
      <c r="J641" s="21">
        <f>SUM(T636:T640)</f>
        <v>10</v>
      </c>
      <c r="K641" s="21"/>
    </row>
    <row r="642" spans="1:22" ht="14.25" x14ac:dyDescent="0.2">
      <c r="A642" s="18"/>
      <c r="B642" s="18"/>
      <c r="C642" s="18" t="s">
        <v>469</v>
      </c>
      <c r="D642" s="19" t="s">
        <v>470</v>
      </c>
      <c r="E642" s="9">
        <f>Source!AQ522</f>
        <v>0.18</v>
      </c>
      <c r="F642" s="21"/>
      <c r="G642" s="20" t="str">
        <f>Source!DI522</f>
        <v/>
      </c>
      <c r="H642" s="9">
        <f>Source!AV522</f>
        <v>1</v>
      </c>
      <c r="I642" s="9"/>
      <c r="J642" s="21"/>
      <c r="K642" s="21">
        <f>Source!U522</f>
        <v>0.16200000000000001</v>
      </c>
    </row>
    <row r="643" spans="1:22" ht="15" x14ac:dyDescent="0.25">
      <c r="A643" s="26"/>
      <c r="B643" s="26"/>
      <c r="C643" s="26"/>
      <c r="D643" s="26"/>
      <c r="E643" s="26"/>
      <c r="F643" s="26"/>
      <c r="G643" s="26"/>
      <c r="H643" s="26"/>
      <c r="I643" s="53">
        <f>J638+J639+J640+J641</f>
        <v>185.74</v>
      </c>
      <c r="J643" s="53"/>
      <c r="K643" s="27">
        <f>IF(Source!I522&lt;&gt;0, ROUND(I643/Source!I522, 2), 0)</f>
        <v>206.38</v>
      </c>
      <c r="P643" s="24">
        <f>I643</f>
        <v>185.74</v>
      </c>
    </row>
    <row r="644" spans="1:22" ht="57" x14ac:dyDescent="0.2">
      <c r="A644" s="18">
        <v>65</v>
      </c>
      <c r="B644" s="18" t="str">
        <f>Source!F524</f>
        <v>1.21-2103-9-2/1</v>
      </c>
      <c r="C644" s="18" t="str">
        <f>Source!G524</f>
        <v>Техническое обслуживание силовых сетей, проложенных по кирпичным и бетонным основаниям, провод сечением 3х1,5-6 мм2 / прим. 3х2,5</v>
      </c>
      <c r="D644" s="19" t="str">
        <f>Source!H524</f>
        <v>100 м</v>
      </c>
      <c r="E644" s="9">
        <f>Source!I524</f>
        <v>8.0000000000000002E-3</v>
      </c>
      <c r="F644" s="21"/>
      <c r="G644" s="20"/>
      <c r="H644" s="9"/>
      <c r="I644" s="9"/>
      <c r="J644" s="21"/>
      <c r="K644" s="21"/>
      <c r="Q644">
        <f>ROUND((Source!BZ524/100)*ROUND((Source!AF524*Source!AV524)*Source!I524, 2), 2)</f>
        <v>29.98</v>
      </c>
      <c r="R644">
        <f>Source!X524</f>
        <v>29.98</v>
      </c>
      <c r="S644">
        <f>ROUND((Source!CA524/100)*ROUND((Source!AF524*Source!AV524)*Source!I524, 2), 2)</f>
        <v>4.28</v>
      </c>
      <c r="T644">
        <f>Source!Y524</f>
        <v>4.28</v>
      </c>
      <c r="U644">
        <f>ROUND((175/100)*ROUND((Source!AE524*Source!AV524)*Source!I524, 2), 2)</f>
        <v>0</v>
      </c>
      <c r="V644">
        <f>ROUND((108/100)*ROUND(Source!CS524*Source!I524, 2), 2)</f>
        <v>0</v>
      </c>
    </row>
    <row r="645" spans="1:22" x14ac:dyDescent="0.2">
      <c r="C645" s="22" t="str">
        <f>"Объем: "&amp;Source!I524&amp;"=(40*"&amp;"1)*"&amp;"0,2*"&amp;"0,1/"&amp;"100"</f>
        <v>Объем: 0,008=(40*1)*0,2*0,1/100</v>
      </c>
    </row>
    <row r="646" spans="1:22" ht="14.25" x14ac:dyDescent="0.2">
      <c r="A646" s="18"/>
      <c r="B646" s="18"/>
      <c r="C646" s="18" t="s">
        <v>461</v>
      </c>
      <c r="D646" s="19"/>
      <c r="E646" s="9"/>
      <c r="F646" s="21">
        <f>Source!AO524</f>
        <v>5353.15</v>
      </c>
      <c r="G646" s="20" t="str">
        <f>Source!DG524</f>
        <v/>
      </c>
      <c r="H646" s="9">
        <f>Source!AV524</f>
        <v>1</v>
      </c>
      <c r="I646" s="9">
        <f>IF(Source!BA524&lt;&gt; 0, Source!BA524, 1)</f>
        <v>1</v>
      </c>
      <c r="J646" s="21">
        <f>Source!S524</f>
        <v>42.83</v>
      </c>
      <c r="K646" s="21"/>
    </row>
    <row r="647" spans="1:22" ht="14.25" x14ac:dyDescent="0.2">
      <c r="A647" s="18"/>
      <c r="B647" s="18"/>
      <c r="C647" s="18" t="s">
        <v>464</v>
      </c>
      <c r="D647" s="19"/>
      <c r="E647" s="9"/>
      <c r="F647" s="21">
        <f>Source!AL524</f>
        <v>22.51</v>
      </c>
      <c r="G647" s="20" t="str">
        <f>Source!DD524</f>
        <v/>
      </c>
      <c r="H647" s="9">
        <f>Source!AW524</f>
        <v>1</v>
      </c>
      <c r="I647" s="9">
        <f>IF(Source!BC524&lt;&gt; 0, Source!BC524, 1)</f>
        <v>1</v>
      </c>
      <c r="J647" s="21">
        <f>Source!P524</f>
        <v>0.18</v>
      </c>
      <c r="K647" s="21"/>
    </row>
    <row r="648" spans="1:22" ht="14.25" x14ac:dyDescent="0.2">
      <c r="A648" s="18"/>
      <c r="B648" s="18"/>
      <c r="C648" s="18" t="s">
        <v>465</v>
      </c>
      <c r="D648" s="19" t="s">
        <v>466</v>
      </c>
      <c r="E648" s="9">
        <f>Source!AT524</f>
        <v>70</v>
      </c>
      <c r="F648" s="21"/>
      <c r="G648" s="20"/>
      <c r="H648" s="9"/>
      <c r="I648" s="9"/>
      <c r="J648" s="21">
        <f>SUM(R644:R647)</f>
        <v>29.98</v>
      </c>
      <c r="K648" s="21"/>
    </row>
    <row r="649" spans="1:22" ht="14.25" x14ac:dyDescent="0.2">
      <c r="A649" s="18"/>
      <c r="B649" s="18"/>
      <c r="C649" s="18" t="s">
        <v>467</v>
      </c>
      <c r="D649" s="19" t="s">
        <v>466</v>
      </c>
      <c r="E649" s="9">
        <f>Source!AU524</f>
        <v>10</v>
      </c>
      <c r="F649" s="21"/>
      <c r="G649" s="20"/>
      <c r="H649" s="9"/>
      <c r="I649" s="9"/>
      <c r="J649" s="21">
        <f>SUM(T644:T648)</f>
        <v>4.28</v>
      </c>
      <c r="K649" s="21"/>
    </row>
    <row r="650" spans="1:22" ht="14.25" x14ac:dyDescent="0.2">
      <c r="A650" s="18"/>
      <c r="B650" s="18"/>
      <c r="C650" s="18" t="s">
        <v>469</v>
      </c>
      <c r="D650" s="19" t="s">
        <v>470</v>
      </c>
      <c r="E650" s="9">
        <f>Source!AQ524</f>
        <v>10</v>
      </c>
      <c r="F650" s="21"/>
      <c r="G650" s="20" t="str">
        <f>Source!DI524</f>
        <v/>
      </c>
      <c r="H650" s="9">
        <f>Source!AV524</f>
        <v>1</v>
      </c>
      <c r="I650" s="9"/>
      <c r="J650" s="21"/>
      <c r="K650" s="21">
        <f>Source!U524</f>
        <v>0.08</v>
      </c>
    </row>
    <row r="651" spans="1:22" ht="15" x14ac:dyDescent="0.25">
      <c r="A651" s="26"/>
      <c r="B651" s="26"/>
      <c r="C651" s="26"/>
      <c r="D651" s="26"/>
      <c r="E651" s="26"/>
      <c r="F651" s="26"/>
      <c r="G651" s="26"/>
      <c r="H651" s="26"/>
      <c r="I651" s="53">
        <f>J646+J647+J648+J649</f>
        <v>77.27</v>
      </c>
      <c r="J651" s="53"/>
      <c r="K651" s="27">
        <f>IF(Source!I524&lt;&gt;0, ROUND(I651/Source!I524, 2), 0)</f>
        <v>9658.75</v>
      </c>
      <c r="P651" s="24">
        <f>I651</f>
        <v>77.27</v>
      </c>
    </row>
    <row r="652" spans="1:22" ht="57" x14ac:dyDescent="0.2">
      <c r="A652" s="18">
        <v>66</v>
      </c>
      <c r="B652" s="18" t="str">
        <f>Source!F526</f>
        <v>1.21-2103-9-2/1</v>
      </c>
      <c r="C652" s="18" t="str">
        <f>Source!G526</f>
        <v>Техническое обслуживание силовых сетей, проложенных по кирпичным и бетонным основаниям, провод сечением 3х1,5-6 мм2</v>
      </c>
      <c r="D652" s="19" t="str">
        <f>Source!H526</f>
        <v>100 м</v>
      </c>
      <c r="E652" s="9">
        <f>Source!I526</f>
        <v>6.0000000000000001E-3</v>
      </c>
      <c r="F652" s="21"/>
      <c r="G652" s="20"/>
      <c r="H652" s="9"/>
      <c r="I652" s="9"/>
      <c r="J652" s="21"/>
      <c r="K652" s="21"/>
      <c r="Q652">
        <f>ROUND((Source!BZ526/100)*ROUND((Source!AF526*Source!AV526)*Source!I526, 2), 2)</f>
        <v>22.48</v>
      </c>
      <c r="R652">
        <f>Source!X526</f>
        <v>22.48</v>
      </c>
      <c r="S652">
        <f>ROUND((Source!CA526/100)*ROUND((Source!AF526*Source!AV526)*Source!I526, 2), 2)</f>
        <v>3.21</v>
      </c>
      <c r="T652">
        <f>Source!Y526</f>
        <v>3.21</v>
      </c>
      <c r="U652">
        <f>ROUND((175/100)*ROUND((Source!AE526*Source!AV526)*Source!I526, 2), 2)</f>
        <v>0</v>
      </c>
      <c r="V652">
        <f>ROUND((108/100)*ROUND(Source!CS526*Source!I526, 2), 2)</f>
        <v>0</v>
      </c>
    </row>
    <row r="653" spans="1:22" x14ac:dyDescent="0.2">
      <c r="C653" s="22" t="str">
        <f>"Объем: "&amp;Source!I526&amp;"=(30*"&amp;"1)*"&amp;"0,2*"&amp;"0,1/"&amp;"100"</f>
        <v>Объем: 0,006=(30*1)*0,2*0,1/100</v>
      </c>
    </row>
    <row r="654" spans="1:22" ht="14.25" x14ac:dyDescent="0.2">
      <c r="A654" s="18"/>
      <c r="B654" s="18"/>
      <c r="C654" s="18" t="s">
        <v>461</v>
      </c>
      <c r="D654" s="19"/>
      <c r="E654" s="9"/>
      <c r="F654" s="21">
        <f>Source!AO526</f>
        <v>5353.15</v>
      </c>
      <c r="G654" s="20" t="str">
        <f>Source!DG526</f>
        <v/>
      </c>
      <c r="H654" s="9">
        <f>Source!AV526</f>
        <v>1</v>
      </c>
      <c r="I654" s="9">
        <f>IF(Source!BA526&lt;&gt; 0, Source!BA526, 1)</f>
        <v>1</v>
      </c>
      <c r="J654" s="21">
        <f>Source!S526</f>
        <v>32.119999999999997</v>
      </c>
      <c r="K654" s="21"/>
    </row>
    <row r="655" spans="1:22" ht="14.25" x14ac:dyDescent="0.2">
      <c r="A655" s="18"/>
      <c r="B655" s="18"/>
      <c r="C655" s="18" t="s">
        <v>464</v>
      </c>
      <c r="D655" s="19"/>
      <c r="E655" s="9"/>
      <c r="F655" s="21">
        <f>Source!AL526</f>
        <v>22.51</v>
      </c>
      <c r="G655" s="20" t="str">
        <f>Source!DD526</f>
        <v/>
      </c>
      <c r="H655" s="9">
        <f>Source!AW526</f>
        <v>1</v>
      </c>
      <c r="I655" s="9">
        <f>IF(Source!BC526&lt;&gt; 0, Source!BC526, 1)</f>
        <v>1</v>
      </c>
      <c r="J655" s="21">
        <f>Source!P526</f>
        <v>0.14000000000000001</v>
      </c>
      <c r="K655" s="21"/>
    </row>
    <row r="656" spans="1:22" ht="14.25" x14ac:dyDescent="0.2">
      <c r="A656" s="18"/>
      <c r="B656" s="18"/>
      <c r="C656" s="18" t="s">
        <v>465</v>
      </c>
      <c r="D656" s="19" t="s">
        <v>466</v>
      </c>
      <c r="E656" s="9">
        <f>Source!AT526</f>
        <v>70</v>
      </c>
      <c r="F656" s="21"/>
      <c r="G656" s="20"/>
      <c r="H656" s="9"/>
      <c r="I656" s="9"/>
      <c r="J656" s="21">
        <f>SUM(R652:R655)</f>
        <v>22.48</v>
      </c>
      <c r="K656" s="21"/>
    </row>
    <row r="657" spans="1:22" ht="14.25" x14ac:dyDescent="0.2">
      <c r="A657" s="18"/>
      <c r="B657" s="18"/>
      <c r="C657" s="18" t="s">
        <v>467</v>
      </c>
      <c r="D657" s="19" t="s">
        <v>466</v>
      </c>
      <c r="E657" s="9">
        <f>Source!AU526</f>
        <v>10</v>
      </c>
      <c r="F657" s="21"/>
      <c r="G657" s="20"/>
      <c r="H657" s="9"/>
      <c r="I657" s="9"/>
      <c r="J657" s="21">
        <f>SUM(T652:T656)</f>
        <v>3.21</v>
      </c>
      <c r="K657" s="21"/>
    </row>
    <row r="658" spans="1:22" ht="14.25" x14ac:dyDescent="0.2">
      <c r="A658" s="18"/>
      <c r="B658" s="18"/>
      <c r="C658" s="18" t="s">
        <v>469</v>
      </c>
      <c r="D658" s="19" t="s">
        <v>470</v>
      </c>
      <c r="E658" s="9">
        <f>Source!AQ526</f>
        <v>10</v>
      </c>
      <c r="F658" s="21"/>
      <c r="G658" s="20" t="str">
        <f>Source!DI526</f>
        <v/>
      </c>
      <c r="H658" s="9">
        <f>Source!AV526</f>
        <v>1</v>
      </c>
      <c r="I658" s="9"/>
      <c r="J658" s="21"/>
      <c r="K658" s="21">
        <f>Source!U526</f>
        <v>0.06</v>
      </c>
    </row>
    <row r="659" spans="1:22" ht="15" x14ac:dyDescent="0.25">
      <c r="A659" s="26"/>
      <c r="B659" s="26"/>
      <c r="C659" s="26"/>
      <c r="D659" s="26"/>
      <c r="E659" s="26"/>
      <c r="F659" s="26"/>
      <c r="G659" s="26"/>
      <c r="H659" s="26"/>
      <c r="I659" s="53">
        <f>J654+J655+J656+J657</f>
        <v>57.949999999999996</v>
      </c>
      <c r="J659" s="53"/>
      <c r="K659" s="27">
        <f>IF(Source!I526&lt;&gt;0, ROUND(I659/Source!I526, 2), 0)</f>
        <v>9658.33</v>
      </c>
      <c r="P659" s="24">
        <f>I659</f>
        <v>57.949999999999996</v>
      </c>
    </row>
    <row r="661" spans="1:22" ht="15" x14ac:dyDescent="0.25">
      <c r="A661" s="57" t="str">
        <f>CONCATENATE("Итого по подразделу: ",IF(Source!G529&lt;&gt;"Новый подраздел", Source!G529, ""))</f>
        <v>Итого по подразделу: Электрооборудование</v>
      </c>
      <c r="B661" s="57"/>
      <c r="C661" s="57"/>
      <c r="D661" s="57"/>
      <c r="E661" s="57"/>
      <c r="F661" s="57"/>
      <c r="G661" s="57"/>
      <c r="H661" s="57"/>
      <c r="I661" s="55">
        <f>SUM(P577:P660)</f>
        <v>37578.079999999987</v>
      </c>
      <c r="J661" s="56"/>
      <c r="K661" s="28"/>
    </row>
    <row r="664" spans="1:22" ht="15" x14ac:dyDescent="0.25">
      <c r="A664" s="57" t="str">
        <f>CONCATENATE("Итого по разделу: ",IF(Source!G559&lt;&gt;"Новый раздел", Source!G559, ""))</f>
        <v>Итого по разделу: Туалетный модуль 2 кабины с сололифтами (1 шт.)</v>
      </c>
      <c r="B664" s="57"/>
      <c r="C664" s="57"/>
      <c r="D664" s="57"/>
      <c r="E664" s="57"/>
      <c r="F664" s="57"/>
      <c r="G664" s="57"/>
      <c r="H664" s="57"/>
      <c r="I664" s="55">
        <f>SUM(P465:P663)</f>
        <v>78125.040000000008</v>
      </c>
      <c r="J664" s="56"/>
      <c r="K664" s="28"/>
    </row>
    <row r="667" spans="1:22" ht="16.5" x14ac:dyDescent="0.25">
      <c r="A667" s="54" t="str">
        <f>CONCATENATE("Раздел: ",IF(Source!G589&lt;&gt;"Новый раздел", Source!G589, ""))</f>
        <v>Раздел: Офис-продакшн  5 шт.</v>
      </c>
      <c r="B667" s="54"/>
      <c r="C667" s="54"/>
      <c r="D667" s="54"/>
      <c r="E667" s="54"/>
      <c r="F667" s="54"/>
      <c r="G667" s="54"/>
      <c r="H667" s="54"/>
      <c r="I667" s="54"/>
      <c r="J667" s="54"/>
      <c r="K667" s="54"/>
    </row>
    <row r="669" spans="1:22" ht="16.5" x14ac:dyDescent="0.25">
      <c r="A669" s="54" t="str">
        <f>CONCATENATE("Подраздел: ",IF(Source!G593&lt;&gt;"Новый подраздел", Source!G593, ""))</f>
        <v>Подраздел: Оборудование водоснабжения и водоотведения</v>
      </c>
      <c r="B669" s="54"/>
      <c r="C669" s="54"/>
      <c r="D669" s="54"/>
      <c r="E669" s="54"/>
      <c r="F669" s="54"/>
      <c r="G669" s="54"/>
      <c r="H669" s="54"/>
      <c r="I669" s="54"/>
      <c r="J669" s="54"/>
      <c r="K669" s="54"/>
    </row>
    <row r="670" spans="1:22" ht="42.75" x14ac:dyDescent="0.2">
      <c r="A670" s="18">
        <v>67</v>
      </c>
      <c r="B670" s="18" t="str">
        <f>Source!F597</f>
        <v>1.21-2303-24-1/1</v>
      </c>
      <c r="C670" s="18" t="str">
        <f>Source!G597</f>
        <v>Техническое обслуживание электроводонагревателей объемом до 80 литров</v>
      </c>
      <c r="D670" s="19" t="str">
        <f>Source!H597</f>
        <v>шт.</v>
      </c>
      <c r="E670" s="9">
        <f>Source!I597</f>
        <v>5</v>
      </c>
      <c r="F670" s="21"/>
      <c r="G670" s="20"/>
      <c r="H670" s="9"/>
      <c r="I670" s="9"/>
      <c r="J670" s="21"/>
      <c r="K670" s="21"/>
      <c r="Q670">
        <f>ROUND((Source!BZ597/100)*ROUND((Source!AF597*Source!AV597)*Source!I597, 2), 2)</f>
        <v>4354.1099999999997</v>
      </c>
      <c r="R670">
        <f>Source!X597</f>
        <v>4354.1099999999997</v>
      </c>
      <c r="S670">
        <f>ROUND((Source!CA597/100)*ROUND((Source!AF597*Source!AV597)*Source!I597, 2), 2)</f>
        <v>622.02</v>
      </c>
      <c r="T670">
        <f>Source!Y597</f>
        <v>622.02</v>
      </c>
      <c r="U670">
        <f>ROUND((175/100)*ROUND((Source!AE597*Source!AV597)*Source!I597, 2), 2)</f>
        <v>7829.24</v>
      </c>
      <c r="V670">
        <f>ROUND((108/100)*ROUND(Source!CS597*Source!I597, 2), 2)</f>
        <v>4831.76</v>
      </c>
    </row>
    <row r="671" spans="1:22" ht="14.25" x14ac:dyDescent="0.2">
      <c r="A671" s="18"/>
      <c r="B671" s="18"/>
      <c r="C671" s="18" t="s">
        <v>461</v>
      </c>
      <c r="D671" s="19"/>
      <c r="E671" s="9"/>
      <c r="F671" s="21">
        <f>Source!AO597</f>
        <v>1244.03</v>
      </c>
      <c r="G671" s="20" t="str">
        <f>Source!DG597</f>
        <v/>
      </c>
      <c r="H671" s="9">
        <f>Source!AV597</f>
        <v>1</v>
      </c>
      <c r="I671" s="9">
        <f>IF(Source!BA597&lt;&gt; 0, Source!BA597, 1)</f>
        <v>1</v>
      </c>
      <c r="J671" s="21">
        <f>Source!S597</f>
        <v>6220.15</v>
      </c>
      <c r="K671" s="21"/>
    </row>
    <row r="672" spans="1:22" ht="14.25" x14ac:dyDescent="0.2">
      <c r="A672" s="18"/>
      <c r="B672" s="18"/>
      <c r="C672" s="18" t="s">
        <v>462</v>
      </c>
      <c r="D672" s="19"/>
      <c r="E672" s="9"/>
      <c r="F672" s="21">
        <f>Source!AM597</f>
        <v>1411.16</v>
      </c>
      <c r="G672" s="20" t="str">
        <f>Source!DE597</f>
        <v/>
      </c>
      <c r="H672" s="9">
        <f>Source!AV597</f>
        <v>1</v>
      </c>
      <c r="I672" s="9">
        <f>IF(Source!BB597&lt;&gt; 0, Source!BB597, 1)</f>
        <v>1</v>
      </c>
      <c r="J672" s="21">
        <f>Source!Q597</f>
        <v>7055.8</v>
      </c>
      <c r="K672" s="21"/>
    </row>
    <row r="673" spans="1:22" ht="14.25" x14ac:dyDescent="0.2">
      <c r="A673" s="18"/>
      <c r="B673" s="18"/>
      <c r="C673" s="18" t="s">
        <v>463</v>
      </c>
      <c r="D673" s="19"/>
      <c r="E673" s="9"/>
      <c r="F673" s="21">
        <f>Source!AN597</f>
        <v>894.77</v>
      </c>
      <c r="G673" s="20" t="str">
        <f>Source!DF597</f>
        <v/>
      </c>
      <c r="H673" s="9">
        <f>Source!AV597</f>
        <v>1</v>
      </c>
      <c r="I673" s="9">
        <f>IF(Source!BS597&lt;&gt; 0, Source!BS597, 1)</f>
        <v>1</v>
      </c>
      <c r="J673" s="23">
        <f>Source!R597</f>
        <v>4473.8500000000004</v>
      </c>
      <c r="K673" s="21"/>
    </row>
    <row r="674" spans="1:22" ht="14.25" x14ac:dyDescent="0.2">
      <c r="A674" s="18"/>
      <c r="B674" s="18"/>
      <c r="C674" s="18" t="s">
        <v>464</v>
      </c>
      <c r="D674" s="19"/>
      <c r="E674" s="9"/>
      <c r="F674" s="21">
        <f>Source!AL597</f>
        <v>0.63</v>
      </c>
      <c r="G674" s="20" t="str">
        <f>Source!DD597</f>
        <v/>
      </c>
      <c r="H674" s="9">
        <f>Source!AW597</f>
        <v>1</v>
      </c>
      <c r="I674" s="9">
        <f>IF(Source!BC597&lt;&gt; 0, Source!BC597, 1)</f>
        <v>1</v>
      </c>
      <c r="J674" s="21">
        <f>Source!P597</f>
        <v>3.15</v>
      </c>
      <c r="K674" s="21"/>
    </row>
    <row r="675" spans="1:22" ht="14.25" x14ac:dyDescent="0.2">
      <c r="A675" s="18"/>
      <c r="B675" s="18"/>
      <c r="C675" s="18" t="s">
        <v>465</v>
      </c>
      <c r="D675" s="19" t="s">
        <v>466</v>
      </c>
      <c r="E675" s="9">
        <f>Source!AT597</f>
        <v>70</v>
      </c>
      <c r="F675" s="21"/>
      <c r="G675" s="20"/>
      <c r="H675" s="9"/>
      <c r="I675" s="9"/>
      <c r="J675" s="21">
        <f>SUM(R670:R674)</f>
        <v>4354.1099999999997</v>
      </c>
      <c r="K675" s="21"/>
    </row>
    <row r="676" spans="1:22" ht="14.25" x14ac:dyDescent="0.2">
      <c r="A676" s="18"/>
      <c r="B676" s="18"/>
      <c r="C676" s="18" t="s">
        <v>467</v>
      </c>
      <c r="D676" s="19" t="s">
        <v>466</v>
      </c>
      <c r="E676" s="9">
        <f>Source!AU597</f>
        <v>10</v>
      </c>
      <c r="F676" s="21"/>
      <c r="G676" s="20"/>
      <c r="H676" s="9"/>
      <c r="I676" s="9"/>
      <c r="J676" s="21">
        <f>SUM(T670:T675)</f>
        <v>622.02</v>
      </c>
      <c r="K676" s="21"/>
    </row>
    <row r="677" spans="1:22" ht="14.25" x14ac:dyDescent="0.2">
      <c r="A677" s="18"/>
      <c r="B677" s="18"/>
      <c r="C677" s="18" t="s">
        <v>468</v>
      </c>
      <c r="D677" s="19" t="s">
        <v>466</v>
      </c>
      <c r="E677" s="9">
        <f>108</f>
        <v>108</v>
      </c>
      <c r="F677" s="21"/>
      <c r="G677" s="20"/>
      <c r="H677" s="9"/>
      <c r="I677" s="9"/>
      <c r="J677" s="21">
        <f>SUM(V670:V676)</f>
        <v>4831.76</v>
      </c>
      <c r="K677" s="21"/>
    </row>
    <row r="678" spans="1:22" ht="14.25" x14ac:dyDescent="0.2">
      <c r="A678" s="18"/>
      <c r="B678" s="18"/>
      <c r="C678" s="18" t="s">
        <v>469</v>
      </c>
      <c r="D678" s="19" t="s">
        <v>470</v>
      </c>
      <c r="E678" s="9">
        <f>Source!AQ597</f>
        <v>1.75</v>
      </c>
      <c r="F678" s="21"/>
      <c r="G678" s="20" t="str">
        <f>Source!DI597</f>
        <v/>
      </c>
      <c r="H678" s="9">
        <f>Source!AV597</f>
        <v>1</v>
      </c>
      <c r="I678" s="9"/>
      <c r="J678" s="21"/>
      <c r="K678" s="21">
        <f>Source!U597</f>
        <v>8.75</v>
      </c>
    </row>
    <row r="679" spans="1:22" ht="15" x14ac:dyDescent="0.25">
      <c r="A679" s="26"/>
      <c r="B679" s="26"/>
      <c r="C679" s="26"/>
      <c r="D679" s="26"/>
      <c r="E679" s="26"/>
      <c r="F679" s="26"/>
      <c r="G679" s="26"/>
      <c r="H679" s="26"/>
      <c r="I679" s="53">
        <f>J671+J672+J674+J675+J676+J677</f>
        <v>23086.989999999998</v>
      </c>
      <c r="J679" s="53"/>
      <c r="K679" s="27">
        <f>IF(Source!I597&lt;&gt;0, ROUND(I679/Source!I597, 2), 0)</f>
        <v>4617.3999999999996</v>
      </c>
      <c r="P679" s="24">
        <f>I679</f>
        <v>23086.989999999998</v>
      </c>
    </row>
    <row r="680" spans="1:22" ht="42.75" x14ac:dyDescent="0.2">
      <c r="A680" s="18">
        <v>68</v>
      </c>
      <c r="B680" s="18" t="str">
        <f>Source!F598</f>
        <v>1.24-2103-16-1/1</v>
      </c>
      <c r="C680" s="18" t="str">
        <f>Source!G598</f>
        <v>Техническое обслуживание погружных насосов мощностью от 2,1 кВт до 16 кВт / прим.</v>
      </c>
      <c r="D680" s="19" t="str">
        <f>Source!H598</f>
        <v>шт.</v>
      </c>
      <c r="E680" s="9">
        <f>Source!I598</f>
        <v>5</v>
      </c>
      <c r="F680" s="21"/>
      <c r="G680" s="20"/>
      <c r="H680" s="9"/>
      <c r="I680" s="9"/>
      <c r="J680" s="21"/>
      <c r="K680" s="21"/>
      <c r="Q680">
        <f>ROUND((Source!BZ598/100)*ROUND((Source!AF598*Source!AV598)*Source!I598, 2), 2)</f>
        <v>13351.21</v>
      </c>
      <c r="R680">
        <f>Source!X598</f>
        <v>13351.21</v>
      </c>
      <c r="S680">
        <f>ROUND((Source!CA598/100)*ROUND((Source!AF598*Source!AV598)*Source!I598, 2), 2)</f>
        <v>1907.32</v>
      </c>
      <c r="T680">
        <f>Source!Y598</f>
        <v>1907.32</v>
      </c>
      <c r="U680">
        <f>ROUND((175/100)*ROUND((Source!AE598*Source!AV598)*Source!I598, 2), 2)</f>
        <v>9.89</v>
      </c>
      <c r="V680">
        <f>ROUND((108/100)*ROUND(Source!CS598*Source!I598, 2), 2)</f>
        <v>6.1</v>
      </c>
    </row>
    <row r="681" spans="1:22" ht="14.25" x14ac:dyDescent="0.2">
      <c r="A681" s="18"/>
      <c r="B681" s="18"/>
      <c r="C681" s="18" t="s">
        <v>461</v>
      </c>
      <c r="D681" s="19"/>
      <c r="E681" s="9"/>
      <c r="F681" s="21">
        <f>Source!AO598</f>
        <v>3814.63</v>
      </c>
      <c r="G681" s="20" t="str">
        <f>Source!DG598</f>
        <v/>
      </c>
      <c r="H681" s="9">
        <f>Source!AV598</f>
        <v>1</v>
      </c>
      <c r="I681" s="9">
        <f>IF(Source!BA598&lt;&gt; 0, Source!BA598, 1)</f>
        <v>1</v>
      </c>
      <c r="J681" s="21">
        <f>Source!S598</f>
        <v>19073.150000000001</v>
      </c>
      <c r="K681" s="21"/>
    </row>
    <row r="682" spans="1:22" ht="14.25" x14ac:dyDescent="0.2">
      <c r="A682" s="18"/>
      <c r="B682" s="18"/>
      <c r="C682" s="18" t="s">
        <v>462</v>
      </c>
      <c r="D682" s="19"/>
      <c r="E682" s="9"/>
      <c r="F682" s="21">
        <f>Source!AM598</f>
        <v>26.53</v>
      </c>
      <c r="G682" s="20" t="str">
        <f>Source!DE598</f>
        <v/>
      </c>
      <c r="H682" s="9">
        <f>Source!AV598</f>
        <v>1</v>
      </c>
      <c r="I682" s="9">
        <f>IF(Source!BB598&lt;&gt; 0, Source!BB598, 1)</f>
        <v>1</v>
      </c>
      <c r="J682" s="21">
        <f>Source!Q598</f>
        <v>132.65</v>
      </c>
      <c r="K682" s="21"/>
    </row>
    <row r="683" spans="1:22" ht="14.25" x14ac:dyDescent="0.2">
      <c r="A683" s="18"/>
      <c r="B683" s="18"/>
      <c r="C683" s="18" t="s">
        <v>463</v>
      </c>
      <c r="D683" s="19"/>
      <c r="E683" s="9"/>
      <c r="F683" s="21">
        <f>Source!AN598</f>
        <v>1.1299999999999999</v>
      </c>
      <c r="G683" s="20" t="str">
        <f>Source!DF598</f>
        <v/>
      </c>
      <c r="H683" s="9">
        <f>Source!AV598</f>
        <v>1</v>
      </c>
      <c r="I683" s="9">
        <f>IF(Source!BS598&lt;&gt; 0, Source!BS598, 1)</f>
        <v>1</v>
      </c>
      <c r="J683" s="23">
        <f>Source!R598</f>
        <v>5.65</v>
      </c>
      <c r="K683" s="21"/>
    </row>
    <row r="684" spans="1:22" ht="14.25" x14ac:dyDescent="0.2">
      <c r="A684" s="18"/>
      <c r="B684" s="18"/>
      <c r="C684" s="18" t="s">
        <v>464</v>
      </c>
      <c r="D684" s="19"/>
      <c r="E684" s="9"/>
      <c r="F684" s="21">
        <f>Source!AL598</f>
        <v>5881.34</v>
      </c>
      <c r="G684" s="20" t="str">
        <f>Source!DD598</f>
        <v/>
      </c>
      <c r="H684" s="9">
        <f>Source!AW598</f>
        <v>1</v>
      </c>
      <c r="I684" s="9">
        <f>IF(Source!BC598&lt;&gt; 0, Source!BC598, 1)</f>
        <v>1</v>
      </c>
      <c r="J684" s="21">
        <f>Source!P598</f>
        <v>29406.7</v>
      </c>
      <c r="K684" s="21"/>
    </row>
    <row r="685" spans="1:22" ht="14.25" x14ac:dyDescent="0.2">
      <c r="A685" s="18"/>
      <c r="B685" s="18"/>
      <c r="C685" s="18" t="s">
        <v>465</v>
      </c>
      <c r="D685" s="19" t="s">
        <v>466</v>
      </c>
      <c r="E685" s="9">
        <f>Source!AT598</f>
        <v>70</v>
      </c>
      <c r="F685" s="21"/>
      <c r="G685" s="20"/>
      <c r="H685" s="9"/>
      <c r="I685" s="9"/>
      <c r="J685" s="21">
        <f>SUM(R680:R684)</f>
        <v>13351.21</v>
      </c>
      <c r="K685" s="21"/>
    </row>
    <row r="686" spans="1:22" ht="14.25" x14ac:dyDescent="0.2">
      <c r="A686" s="18"/>
      <c r="B686" s="18"/>
      <c r="C686" s="18" t="s">
        <v>467</v>
      </c>
      <c r="D686" s="19" t="s">
        <v>466</v>
      </c>
      <c r="E686" s="9">
        <f>Source!AU598</f>
        <v>10</v>
      </c>
      <c r="F686" s="21"/>
      <c r="G686" s="20"/>
      <c r="H686" s="9"/>
      <c r="I686" s="9"/>
      <c r="J686" s="21">
        <f>SUM(T680:T685)</f>
        <v>1907.32</v>
      </c>
      <c r="K686" s="21"/>
    </row>
    <row r="687" spans="1:22" ht="14.25" x14ac:dyDescent="0.2">
      <c r="A687" s="18"/>
      <c r="B687" s="18"/>
      <c r="C687" s="18" t="s">
        <v>468</v>
      </c>
      <c r="D687" s="19" t="s">
        <v>466</v>
      </c>
      <c r="E687" s="9">
        <f>108</f>
        <v>108</v>
      </c>
      <c r="F687" s="21"/>
      <c r="G687" s="20"/>
      <c r="H687" s="9"/>
      <c r="I687" s="9"/>
      <c r="J687" s="21">
        <f>SUM(V680:V686)</f>
        <v>6.1</v>
      </c>
      <c r="K687" s="21"/>
    </row>
    <row r="688" spans="1:22" ht="14.25" x14ac:dyDescent="0.2">
      <c r="A688" s="18"/>
      <c r="B688" s="18"/>
      <c r="C688" s="18" t="s">
        <v>469</v>
      </c>
      <c r="D688" s="19" t="s">
        <v>470</v>
      </c>
      <c r="E688" s="9">
        <f>Source!AQ598</f>
        <v>5.7</v>
      </c>
      <c r="F688" s="21"/>
      <c r="G688" s="20" t="str">
        <f>Source!DI598</f>
        <v/>
      </c>
      <c r="H688" s="9">
        <f>Source!AV598</f>
        <v>1</v>
      </c>
      <c r="I688" s="9"/>
      <c r="J688" s="21"/>
      <c r="K688" s="21">
        <f>Source!U598</f>
        <v>28.5</v>
      </c>
    </row>
    <row r="689" spans="1:22" ht="15" x14ac:dyDescent="0.25">
      <c r="A689" s="26"/>
      <c r="B689" s="26"/>
      <c r="C689" s="26"/>
      <c r="D689" s="26"/>
      <c r="E689" s="26"/>
      <c r="F689" s="26"/>
      <c r="G689" s="26"/>
      <c r="H689" s="26"/>
      <c r="I689" s="53">
        <f>J681+J682+J684+J685+J686+J687</f>
        <v>63877.13</v>
      </c>
      <c r="J689" s="53"/>
      <c r="K689" s="27">
        <f>IF(Source!I598&lt;&gt;0, ROUND(I689/Source!I598, 2), 0)</f>
        <v>12775.43</v>
      </c>
      <c r="P689" s="24">
        <f>I689</f>
        <v>63877.13</v>
      </c>
    </row>
    <row r="690" spans="1:22" ht="28.5" x14ac:dyDescent="0.2">
      <c r="A690" s="18">
        <v>69</v>
      </c>
      <c r="B690" s="18" t="str">
        <f>Source!F601</f>
        <v>1.16-3201-2-1/1</v>
      </c>
      <c r="C690" s="18" t="str">
        <f>Source!G601</f>
        <v>Укрепление расшатавшихся санитарно-технических приборов - умывальники</v>
      </c>
      <c r="D690" s="19" t="str">
        <f>Source!H601</f>
        <v>100 шт.</v>
      </c>
      <c r="E690" s="9">
        <f>Source!I601</f>
        <v>0.05</v>
      </c>
      <c r="F690" s="21"/>
      <c r="G690" s="20"/>
      <c r="H690" s="9"/>
      <c r="I690" s="9"/>
      <c r="J690" s="21"/>
      <c r="K690" s="21"/>
      <c r="Q690">
        <f>ROUND((Source!BZ601/100)*ROUND((Source!AF601*Source!AV601)*Source!I601, 2), 2)</f>
        <v>1852.74</v>
      </c>
      <c r="R690">
        <f>Source!X601</f>
        <v>1852.74</v>
      </c>
      <c r="S690">
        <f>ROUND((Source!CA601/100)*ROUND((Source!AF601*Source!AV601)*Source!I601, 2), 2)</f>
        <v>264.68</v>
      </c>
      <c r="T690">
        <f>Source!Y601</f>
        <v>264.68</v>
      </c>
      <c r="U690">
        <f>ROUND((175/100)*ROUND((Source!AE601*Source!AV601)*Source!I601, 2), 2)</f>
        <v>7.0000000000000007E-2</v>
      </c>
      <c r="V690">
        <f>ROUND((108/100)*ROUND(Source!CS601*Source!I601, 2), 2)</f>
        <v>0.04</v>
      </c>
    </row>
    <row r="691" spans="1:22" x14ac:dyDescent="0.2">
      <c r="C691" s="22" t="str">
        <f>"Объем: "&amp;Source!I601&amp;"=5/"&amp;"100"</f>
        <v>Объем: 0,05=5/100</v>
      </c>
    </row>
    <row r="692" spans="1:22" ht="14.25" x14ac:dyDescent="0.2">
      <c r="A692" s="18"/>
      <c r="B692" s="18"/>
      <c r="C692" s="18" t="s">
        <v>461</v>
      </c>
      <c r="D692" s="19"/>
      <c r="E692" s="9"/>
      <c r="F692" s="21">
        <f>Source!AO601</f>
        <v>52935.41</v>
      </c>
      <c r="G692" s="20" t="str">
        <f>Source!DG601</f>
        <v/>
      </c>
      <c r="H692" s="9">
        <f>Source!AV601</f>
        <v>1</v>
      </c>
      <c r="I692" s="9">
        <f>IF(Source!BA601&lt;&gt; 0, Source!BA601, 1)</f>
        <v>1</v>
      </c>
      <c r="J692" s="21">
        <f>Source!S601</f>
        <v>2646.77</v>
      </c>
      <c r="K692" s="21"/>
    </row>
    <row r="693" spans="1:22" ht="14.25" x14ac:dyDescent="0.2">
      <c r="A693" s="18"/>
      <c r="B693" s="18"/>
      <c r="C693" s="18" t="s">
        <v>462</v>
      </c>
      <c r="D693" s="19"/>
      <c r="E693" s="9"/>
      <c r="F693" s="21">
        <f>Source!AM601</f>
        <v>61.83</v>
      </c>
      <c r="G693" s="20" t="str">
        <f>Source!DE601</f>
        <v/>
      </c>
      <c r="H693" s="9">
        <f>Source!AV601</f>
        <v>1</v>
      </c>
      <c r="I693" s="9">
        <f>IF(Source!BB601&lt;&gt; 0, Source!BB601, 1)</f>
        <v>1</v>
      </c>
      <c r="J693" s="21">
        <f>Source!Q601</f>
        <v>3.09</v>
      </c>
      <c r="K693" s="21"/>
    </row>
    <row r="694" spans="1:22" ht="14.25" x14ac:dyDescent="0.2">
      <c r="A694" s="18"/>
      <c r="B694" s="18"/>
      <c r="C694" s="18" t="s">
        <v>463</v>
      </c>
      <c r="D694" s="19"/>
      <c r="E694" s="9"/>
      <c r="F694" s="21">
        <f>Source!AN601</f>
        <v>0.7</v>
      </c>
      <c r="G694" s="20" t="str">
        <f>Source!DF601</f>
        <v/>
      </c>
      <c r="H694" s="9">
        <f>Source!AV601</f>
        <v>1</v>
      </c>
      <c r="I694" s="9">
        <f>IF(Source!BS601&lt;&gt; 0, Source!BS601, 1)</f>
        <v>1</v>
      </c>
      <c r="J694" s="23">
        <f>Source!R601</f>
        <v>0.04</v>
      </c>
      <c r="K694" s="21"/>
    </row>
    <row r="695" spans="1:22" ht="14.25" x14ac:dyDescent="0.2">
      <c r="A695" s="18"/>
      <c r="B695" s="18"/>
      <c r="C695" s="18" t="s">
        <v>464</v>
      </c>
      <c r="D695" s="19"/>
      <c r="E695" s="9"/>
      <c r="F695" s="21">
        <f>Source!AL601</f>
        <v>776.55</v>
      </c>
      <c r="G695" s="20" t="str">
        <f>Source!DD601</f>
        <v/>
      </c>
      <c r="H695" s="9">
        <f>Source!AW601</f>
        <v>1</v>
      </c>
      <c r="I695" s="9">
        <f>IF(Source!BC601&lt;&gt; 0, Source!BC601, 1)</f>
        <v>1</v>
      </c>
      <c r="J695" s="21">
        <f>Source!P601</f>
        <v>38.83</v>
      </c>
      <c r="K695" s="21"/>
    </row>
    <row r="696" spans="1:22" ht="14.25" x14ac:dyDescent="0.2">
      <c r="A696" s="18"/>
      <c r="B696" s="18"/>
      <c r="C696" s="18" t="s">
        <v>465</v>
      </c>
      <c r="D696" s="19" t="s">
        <v>466</v>
      </c>
      <c r="E696" s="9">
        <f>Source!AT601</f>
        <v>70</v>
      </c>
      <c r="F696" s="21"/>
      <c r="G696" s="20"/>
      <c r="H696" s="9"/>
      <c r="I696" s="9"/>
      <c r="J696" s="21">
        <f>SUM(R690:R695)</f>
        <v>1852.74</v>
      </c>
      <c r="K696" s="21"/>
    </row>
    <row r="697" spans="1:22" ht="14.25" x14ac:dyDescent="0.2">
      <c r="A697" s="18"/>
      <c r="B697" s="18"/>
      <c r="C697" s="18" t="s">
        <v>467</v>
      </c>
      <c r="D697" s="19" t="s">
        <v>466</v>
      </c>
      <c r="E697" s="9">
        <f>Source!AU601</f>
        <v>10</v>
      </c>
      <c r="F697" s="21"/>
      <c r="G697" s="20"/>
      <c r="H697" s="9"/>
      <c r="I697" s="9"/>
      <c r="J697" s="21">
        <f>SUM(T690:T696)</f>
        <v>264.68</v>
      </c>
      <c r="K697" s="21"/>
    </row>
    <row r="698" spans="1:22" ht="14.25" x14ac:dyDescent="0.2">
      <c r="A698" s="18"/>
      <c r="B698" s="18"/>
      <c r="C698" s="18" t="s">
        <v>468</v>
      </c>
      <c r="D698" s="19" t="s">
        <v>466</v>
      </c>
      <c r="E698" s="9">
        <f>108</f>
        <v>108</v>
      </c>
      <c r="F698" s="21"/>
      <c r="G698" s="20"/>
      <c r="H698" s="9"/>
      <c r="I698" s="9"/>
      <c r="J698" s="21">
        <f>SUM(V690:V697)</f>
        <v>0.04</v>
      </c>
      <c r="K698" s="21"/>
    </row>
    <row r="699" spans="1:22" ht="14.25" x14ac:dyDescent="0.2">
      <c r="A699" s="18"/>
      <c r="B699" s="18"/>
      <c r="C699" s="18" t="s">
        <v>469</v>
      </c>
      <c r="D699" s="19" t="s">
        <v>470</v>
      </c>
      <c r="E699" s="9">
        <f>Source!AQ601</f>
        <v>104.44</v>
      </c>
      <c r="F699" s="21"/>
      <c r="G699" s="20" t="str">
        <f>Source!DI601</f>
        <v/>
      </c>
      <c r="H699" s="9">
        <f>Source!AV601</f>
        <v>1</v>
      </c>
      <c r="I699" s="9"/>
      <c r="J699" s="21"/>
      <c r="K699" s="21">
        <f>Source!U601</f>
        <v>5.2220000000000004</v>
      </c>
    </row>
    <row r="700" spans="1:22" ht="15" x14ac:dyDescent="0.25">
      <c r="A700" s="26"/>
      <c r="B700" s="26"/>
      <c r="C700" s="26"/>
      <c r="D700" s="26"/>
      <c r="E700" s="26"/>
      <c r="F700" s="26"/>
      <c r="G700" s="26"/>
      <c r="H700" s="26"/>
      <c r="I700" s="53">
        <f>J692+J693+J695+J696+J697+J698</f>
        <v>4806.1500000000005</v>
      </c>
      <c r="J700" s="53"/>
      <c r="K700" s="27">
        <f>IF(Source!I601&lt;&gt;0, ROUND(I700/Source!I601, 2), 0)</f>
        <v>96123</v>
      </c>
      <c r="P700" s="24">
        <f>I700</f>
        <v>4806.1500000000005</v>
      </c>
    </row>
    <row r="701" spans="1:22" ht="42.75" x14ac:dyDescent="0.2">
      <c r="A701" s="18">
        <v>70</v>
      </c>
      <c r="B701" s="18" t="str">
        <f>Source!F602</f>
        <v>1.16-3201-2-2/1</v>
      </c>
      <c r="C701" s="18" t="str">
        <f>Source!G602</f>
        <v>Укрепление расшатавшихся санитарно-технических приборов - унитазы и биде</v>
      </c>
      <c r="D701" s="19" t="str">
        <f>Source!H602</f>
        <v>100 шт.</v>
      </c>
      <c r="E701" s="9">
        <f>Source!I602</f>
        <v>0.05</v>
      </c>
      <c r="F701" s="21"/>
      <c r="G701" s="20"/>
      <c r="H701" s="9"/>
      <c r="I701" s="9"/>
      <c r="J701" s="21"/>
      <c r="K701" s="21"/>
      <c r="Q701">
        <f>ROUND((Source!BZ602/100)*ROUND((Source!AF602*Source!AV602)*Source!I602, 2), 2)</f>
        <v>2695.2</v>
      </c>
      <c r="R701">
        <f>Source!X602</f>
        <v>2695.2</v>
      </c>
      <c r="S701">
        <f>ROUND((Source!CA602/100)*ROUND((Source!AF602*Source!AV602)*Source!I602, 2), 2)</f>
        <v>385.03</v>
      </c>
      <c r="T701">
        <f>Source!Y602</f>
        <v>385.03</v>
      </c>
      <c r="U701">
        <f>ROUND((175/100)*ROUND((Source!AE602*Source!AV602)*Source!I602, 2), 2)</f>
        <v>7.0000000000000007E-2</v>
      </c>
      <c r="V701">
        <f>ROUND((108/100)*ROUND(Source!CS602*Source!I602, 2), 2)</f>
        <v>0.04</v>
      </c>
    </row>
    <row r="702" spans="1:22" x14ac:dyDescent="0.2">
      <c r="C702" s="22" t="str">
        <f>"Объем: "&amp;Source!I602&amp;"=5/"&amp;"100"</f>
        <v>Объем: 0,05=5/100</v>
      </c>
    </row>
    <row r="703" spans="1:22" ht="14.25" x14ac:dyDescent="0.2">
      <c r="A703" s="18"/>
      <c r="B703" s="18"/>
      <c r="C703" s="18" t="s">
        <v>461</v>
      </c>
      <c r="D703" s="19"/>
      <c r="E703" s="9"/>
      <c r="F703" s="21">
        <f>Source!AO602</f>
        <v>77005.72</v>
      </c>
      <c r="G703" s="20" t="str">
        <f>Source!DG602</f>
        <v/>
      </c>
      <c r="H703" s="9">
        <f>Source!AV602</f>
        <v>1</v>
      </c>
      <c r="I703" s="9">
        <f>IF(Source!BA602&lt;&gt; 0, Source!BA602, 1)</f>
        <v>1</v>
      </c>
      <c r="J703" s="21">
        <f>Source!S602</f>
        <v>3850.29</v>
      </c>
      <c r="K703" s="21"/>
    </row>
    <row r="704" spans="1:22" ht="14.25" x14ac:dyDescent="0.2">
      <c r="A704" s="18"/>
      <c r="B704" s="18"/>
      <c r="C704" s="18" t="s">
        <v>462</v>
      </c>
      <c r="D704" s="19"/>
      <c r="E704" s="9"/>
      <c r="F704" s="21">
        <f>Source!AM602</f>
        <v>61.83</v>
      </c>
      <c r="G704" s="20" t="str">
        <f>Source!DE602</f>
        <v/>
      </c>
      <c r="H704" s="9">
        <f>Source!AV602</f>
        <v>1</v>
      </c>
      <c r="I704" s="9">
        <f>IF(Source!BB602&lt;&gt; 0, Source!BB602, 1)</f>
        <v>1</v>
      </c>
      <c r="J704" s="21">
        <f>Source!Q602</f>
        <v>3.09</v>
      </c>
      <c r="K704" s="21"/>
    </row>
    <row r="705" spans="1:22" ht="14.25" x14ac:dyDescent="0.2">
      <c r="A705" s="18"/>
      <c r="B705" s="18"/>
      <c r="C705" s="18" t="s">
        <v>463</v>
      </c>
      <c r="D705" s="19"/>
      <c r="E705" s="9"/>
      <c r="F705" s="21">
        <f>Source!AN602</f>
        <v>0.7</v>
      </c>
      <c r="G705" s="20" t="str">
        <f>Source!DF602</f>
        <v/>
      </c>
      <c r="H705" s="9">
        <f>Source!AV602</f>
        <v>1</v>
      </c>
      <c r="I705" s="9">
        <f>IF(Source!BS602&lt;&gt; 0, Source!BS602, 1)</f>
        <v>1</v>
      </c>
      <c r="J705" s="23">
        <f>Source!R602</f>
        <v>0.04</v>
      </c>
      <c r="K705" s="21"/>
    </row>
    <row r="706" spans="1:22" ht="14.25" x14ac:dyDescent="0.2">
      <c r="A706" s="18"/>
      <c r="B706" s="18"/>
      <c r="C706" s="18" t="s">
        <v>464</v>
      </c>
      <c r="D706" s="19"/>
      <c r="E706" s="9"/>
      <c r="F706" s="21">
        <f>Source!AL602</f>
        <v>776.55</v>
      </c>
      <c r="G706" s="20" t="str">
        <f>Source!DD602</f>
        <v/>
      </c>
      <c r="H706" s="9">
        <f>Source!AW602</f>
        <v>1</v>
      </c>
      <c r="I706" s="9">
        <f>IF(Source!BC602&lt;&gt; 0, Source!BC602, 1)</f>
        <v>1</v>
      </c>
      <c r="J706" s="21">
        <f>Source!P602</f>
        <v>38.83</v>
      </c>
      <c r="K706" s="21"/>
    </row>
    <row r="707" spans="1:22" ht="14.25" x14ac:dyDescent="0.2">
      <c r="A707" s="18"/>
      <c r="B707" s="18"/>
      <c r="C707" s="18" t="s">
        <v>465</v>
      </c>
      <c r="D707" s="19" t="s">
        <v>466</v>
      </c>
      <c r="E707" s="9">
        <f>Source!AT602</f>
        <v>70</v>
      </c>
      <c r="F707" s="21"/>
      <c r="G707" s="20"/>
      <c r="H707" s="9"/>
      <c r="I707" s="9"/>
      <c r="J707" s="21">
        <f>SUM(R701:R706)</f>
        <v>2695.2</v>
      </c>
      <c r="K707" s="21"/>
    </row>
    <row r="708" spans="1:22" ht="14.25" x14ac:dyDescent="0.2">
      <c r="A708" s="18"/>
      <c r="B708" s="18"/>
      <c r="C708" s="18" t="s">
        <v>467</v>
      </c>
      <c r="D708" s="19" t="s">
        <v>466</v>
      </c>
      <c r="E708" s="9">
        <f>Source!AU602</f>
        <v>10</v>
      </c>
      <c r="F708" s="21"/>
      <c r="G708" s="20"/>
      <c r="H708" s="9"/>
      <c r="I708" s="9"/>
      <c r="J708" s="21">
        <f>SUM(T701:T707)</f>
        <v>385.03</v>
      </c>
      <c r="K708" s="21"/>
    </row>
    <row r="709" spans="1:22" ht="14.25" x14ac:dyDescent="0.2">
      <c r="A709" s="18"/>
      <c r="B709" s="18"/>
      <c r="C709" s="18" t="s">
        <v>468</v>
      </c>
      <c r="D709" s="19" t="s">
        <v>466</v>
      </c>
      <c r="E709" s="9">
        <f>108</f>
        <v>108</v>
      </c>
      <c r="F709" s="21"/>
      <c r="G709" s="20"/>
      <c r="H709" s="9"/>
      <c r="I709" s="9"/>
      <c r="J709" s="21">
        <f>SUM(V701:V708)</f>
        <v>0.04</v>
      </c>
      <c r="K709" s="21"/>
    </row>
    <row r="710" spans="1:22" ht="14.25" x14ac:dyDescent="0.2">
      <c r="A710" s="18"/>
      <c r="B710" s="18"/>
      <c r="C710" s="18" t="s">
        <v>469</v>
      </c>
      <c r="D710" s="19" t="s">
        <v>470</v>
      </c>
      <c r="E710" s="9">
        <f>Source!AQ602</f>
        <v>151.93</v>
      </c>
      <c r="F710" s="21"/>
      <c r="G710" s="20" t="str">
        <f>Source!DI602</f>
        <v/>
      </c>
      <c r="H710" s="9">
        <f>Source!AV602</f>
        <v>1</v>
      </c>
      <c r="I710" s="9"/>
      <c r="J710" s="21"/>
      <c r="K710" s="21">
        <f>Source!U602</f>
        <v>7.5965000000000007</v>
      </c>
    </row>
    <row r="711" spans="1:22" ht="15" x14ac:dyDescent="0.25">
      <c r="A711" s="26"/>
      <c r="B711" s="26"/>
      <c r="C711" s="26"/>
      <c r="D711" s="26"/>
      <c r="E711" s="26"/>
      <c r="F711" s="26"/>
      <c r="G711" s="26"/>
      <c r="H711" s="26"/>
      <c r="I711" s="53">
        <f>J703+J704+J706+J707+J708+J709</f>
        <v>6972.48</v>
      </c>
      <c r="J711" s="53"/>
      <c r="K711" s="27">
        <f>IF(Source!I602&lt;&gt;0, ROUND(I711/Source!I602, 2), 0)</f>
        <v>139449.60000000001</v>
      </c>
      <c r="P711" s="24">
        <f>I711</f>
        <v>6972.48</v>
      </c>
    </row>
    <row r="712" spans="1:22" ht="42.75" x14ac:dyDescent="0.2">
      <c r="A712" s="18">
        <v>71</v>
      </c>
      <c r="B712" s="18" t="str">
        <f>Source!F604</f>
        <v>1.23-2103-41-1/1</v>
      </c>
      <c r="C712" s="18" t="str">
        <f>Source!G604</f>
        <v>Техническое обслуживание регулирующего клапана / Смеситель для раковины</v>
      </c>
      <c r="D712" s="19" t="str">
        <f>Source!H604</f>
        <v>шт.</v>
      </c>
      <c r="E712" s="9">
        <f>Source!I604</f>
        <v>5</v>
      </c>
      <c r="F712" s="21"/>
      <c r="G712" s="20"/>
      <c r="H712" s="9"/>
      <c r="I712" s="9"/>
      <c r="J712" s="21"/>
      <c r="K712" s="21"/>
      <c r="Q712">
        <f>ROUND((Source!BZ604/100)*ROUND((Source!AF604*Source!AV604)*Source!I604, 2), 2)</f>
        <v>728</v>
      </c>
      <c r="R712">
        <f>Source!X604</f>
        <v>728</v>
      </c>
      <c r="S712">
        <f>ROUND((Source!CA604/100)*ROUND((Source!AF604*Source!AV604)*Source!I604, 2), 2)</f>
        <v>104</v>
      </c>
      <c r="T712">
        <f>Source!Y604</f>
        <v>104</v>
      </c>
      <c r="U712">
        <f>ROUND((175/100)*ROUND((Source!AE604*Source!AV604)*Source!I604, 2), 2)</f>
        <v>433.74</v>
      </c>
      <c r="V712">
        <f>ROUND((108/100)*ROUND(Source!CS604*Source!I604, 2), 2)</f>
        <v>267.68</v>
      </c>
    </row>
    <row r="713" spans="1:22" ht="14.25" x14ac:dyDescent="0.2">
      <c r="A713" s="18"/>
      <c r="B713" s="18"/>
      <c r="C713" s="18" t="s">
        <v>461</v>
      </c>
      <c r="D713" s="19"/>
      <c r="E713" s="9"/>
      <c r="F713" s="21">
        <f>Source!AO604</f>
        <v>208</v>
      </c>
      <c r="G713" s="20" t="str">
        <f>Source!DG604</f>
        <v/>
      </c>
      <c r="H713" s="9">
        <f>Source!AV604</f>
        <v>1</v>
      </c>
      <c r="I713" s="9">
        <f>IF(Source!BA604&lt;&gt; 0, Source!BA604, 1)</f>
        <v>1</v>
      </c>
      <c r="J713" s="21">
        <f>Source!S604</f>
        <v>1040</v>
      </c>
      <c r="K713" s="21"/>
    </row>
    <row r="714" spans="1:22" ht="14.25" x14ac:dyDescent="0.2">
      <c r="A714" s="18"/>
      <c r="B714" s="18"/>
      <c r="C714" s="18" t="s">
        <v>462</v>
      </c>
      <c r="D714" s="19"/>
      <c r="E714" s="9"/>
      <c r="F714" s="21">
        <f>Source!AM604</f>
        <v>78.180000000000007</v>
      </c>
      <c r="G714" s="20" t="str">
        <f>Source!DE604</f>
        <v/>
      </c>
      <c r="H714" s="9">
        <f>Source!AV604</f>
        <v>1</v>
      </c>
      <c r="I714" s="9">
        <f>IF(Source!BB604&lt;&gt; 0, Source!BB604, 1)</f>
        <v>1</v>
      </c>
      <c r="J714" s="21">
        <f>Source!Q604</f>
        <v>390.9</v>
      </c>
      <c r="K714" s="21"/>
    </row>
    <row r="715" spans="1:22" ht="14.25" x14ac:dyDescent="0.2">
      <c r="A715" s="18"/>
      <c r="B715" s="18"/>
      <c r="C715" s="18" t="s">
        <v>463</v>
      </c>
      <c r="D715" s="19"/>
      <c r="E715" s="9"/>
      <c r="F715" s="21">
        <f>Source!AN604</f>
        <v>49.57</v>
      </c>
      <c r="G715" s="20" t="str">
        <f>Source!DF604</f>
        <v/>
      </c>
      <c r="H715" s="9">
        <f>Source!AV604</f>
        <v>1</v>
      </c>
      <c r="I715" s="9">
        <f>IF(Source!BS604&lt;&gt; 0, Source!BS604, 1)</f>
        <v>1</v>
      </c>
      <c r="J715" s="23">
        <f>Source!R604</f>
        <v>247.85</v>
      </c>
      <c r="K715" s="21"/>
    </row>
    <row r="716" spans="1:22" ht="14.25" x14ac:dyDescent="0.2">
      <c r="A716" s="18"/>
      <c r="B716" s="18"/>
      <c r="C716" s="18" t="s">
        <v>465</v>
      </c>
      <c r="D716" s="19" t="s">
        <v>466</v>
      </c>
      <c r="E716" s="9">
        <f>Source!AT604</f>
        <v>70</v>
      </c>
      <c r="F716" s="21"/>
      <c r="G716" s="20"/>
      <c r="H716" s="9"/>
      <c r="I716" s="9"/>
      <c r="J716" s="21">
        <f>SUM(R712:R715)</f>
        <v>728</v>
      </c>
      <c r="K716" s="21"/>
    </row>
    <row r="717" spans="1:22" ht="14.25" x14ac:dyDescent="0.2">
      <c r="A717" s="18"/>
      <c r="B717" s="18"/>
      <c r="C717" s="18" t="s">
        <v>467</v>
      </c>
      <c r="D717" s="19" t="s">
        <v>466</v>
      </c>
      <c r="E717" s="9">
        <f>Source!AU604</f>
        <v>10</v>
      </c>
      <c r="F717" s="21"/>
      <c r="G717" s="20"/>
      <c r="H717" s="9"/>
      <c r="I717" s="9"/>
      <c r="J717" s="21">
        <f>SUM(T712:T716)</f>
        <v>104</v>
      </c>
      <c r="K717" s="21"/>
    </row>
    <row r="718" spans="1:22" ht="14.25" x14ac:dyDescent="0.2">
      <c r="A718" s="18"/>
      <c r="B718" s="18"/>
      <c r="C718" s="18" t="s">
        <v>468</v>
      </c>
      <c r="D718" s="19" t="s">
        <v>466</v>
      </c>
      <c r="E718" s="9">
        <f>108</f>
        <v>108</v>
      </c>
      <c r="F718" s="21"/>
      <c r="G718" s="20"/>
      <c r="H718" s="9"/>
      <c r="I718" s="9"/>
      <c r="J718" s="21">
        <f>SUM(V712:V717)</f>
        <v>267.68</v>
      </c>
      <c r="K718" s="21"/>
    </row>
    <row r="719" spans="1:22" ht="14.25" x14ac:dyDescent="0.2">
      <c r="A719" s="18"/>
      <c r="B719" s="18"/>
      <c r="C719" s="18" t="s">
        <v>469</v>
      </c>
      <c r="D719" s="19" t="s">
        <v>470</v>
      </c>
      <c r="E719" s="9">
        <f>Source!AQ604</f>
        <v>0.37</v>
      </c>
      <c r="F719" s="21"/>
      <c r="G719" s="20" t="str">
        <f>Source!DI604</f>
        <v/>
      </c>
      <c r="H719" s="9">
        <f>Source!AV604</f>
        <v>1</v>
      </c>
      <c r="I719" s="9"/>
      <c r="J719" s="21"/>
      <c r="K719" s="21">
        <f>Source!U604</f>
        <v>1.85</v>
      </c>
    </row>
    <row r="720" spans="1:22" ht="15" x14ac:dyDescent="0.25">
      <c r="A720" s="26"/>
      <c r="B720" s="26"/>
      <c r="C720" s="26"/>
      <c r="D720" s="26"/>
      <c r="E720" s="26"/>
      <c r="F720" s="26"/>
      <c r="G720" s="26"/>
      <c r="H720" s="26"/>
      <c r="I720" s="53">
        <f>J713+J714+J716+J717+J718</f>
        <v>2530.58</v>
      </c>
      <c r="J720" s="53"/>
      <c r="K720" s="27">
        <f>IF(Source!I604&lt;&gt;0, ROUND(I720/Source!I604, 2), 0)</f>
        <v>506.12</v>
      </c>
      <c r="P720" s="24">
        <f>I720</f>
        <v>2530.58</v>
      </c>
    </row>
    <row r="721" spans="1:22" ht="28.5" x14ac:dyDescent="0.2">
      <c r="A721" s="18">
        <v>72</v>
      </c>
      <c r="B721" s="18" t="str">
        <f>Source!F605</f>
        <v>1.16-3201-1-1/1</v>
      </c>
      <c r="C721" s="18" t="str">
        <f>Source!G605</f>
        <v>Регулировка смывного бачка</v>
      </c>
      <c r="D721" s="19" t="str">
        <f>Source!H605</f>
        <v>100 приборов</v>
      </c>
      <c r="E721" s="9">
        <f>Source!I605</f>
        <v>0.05</v>
      </c>
      <c r="F721" s="21"/>
      <c r="G721" s="20"/>
      <c r="H721" s="9"/>
      <c r="I721" s="9"/>
      <c r="J721" s="21"/>
      <c r="K721" s="21"/>
      <c r="Q721">
        <f>ROUND((Source!BZ605/100)*ROUND((Source!AF605*Source!AV605)*Source!I605, 2), 2)</f>
        <v>556.37</v>
      </c>
      <c r="R721">
        <f>Source!X605</f>
        <v>556.37</v>
      </c>
      <c r="S721">
        <f>ROUND((Source!CA605/100)*ROUND((Source!AF605*Source!AV605)*Source!I605, 2), 2)</f>
        <v>79.48</v>
      </c>
      <c r="T721">
        <f>Source!Y605</f>
        <v>79.48</v>
      </c>
      <c r="U721">
        <f>ROUND((175/100)*ROUND((Source!AE605*Source!AV605)*Source!I605, 2), 2)</f>
        <v>0</v>
      </c>
      <c r="V721">
        <f>ROUND((108/100)*ROUND(Source!CS605*Source!I605, 2), 2)</f>
        <v>0</v>
      </c>
    </row>
    <row r="722" spans="1:22" x14ac:dyDescent="0.2">
      <c r="C722" s="22" t="str">
        <f>"Объем: "&amp;Source!I605&amp;"=5/"&amp;"100"</f>
        <v>Объем: 0,05=5/100</v>
      </c>
    </row>
    <row r="723" spans="1:22" ht="14.25" x14ac:dyDescent="0.2">
      <c r="A723" s="18"/>
      <c r="B723" s="18"/>
      <c r="C723" s="18" t="s">
        <v>461</v>
      </c>
      <c r="D723" s="19"/>
      <c r="E723" s="9"/>
      <c r="F723" s="21">
        <f>Source!AO605</f>
        <v>15896.11</v>
      </c>
      <c r="G723" s="20" t="str">
        <f>Source!DG605</f>
        <v/>
      </c>
      <c r="H723" s="9">
        <f>Source!AV605</f>
        <v>1</v>
      </c>
      <c r="I723" s="9">
        <f>IF(Source!BA605&lt;&gt; 0, Source!BA605, 1)</f>
        <v>1</v>
      </c>
      <c r="J723" s="21">
        <f>Source!S605</f>
        <v>794.81</v>
      </c>
      <c r="K723" s="21"/>
    </row>
    <row r="724" spans="1:22" ht="14.25" x14ac:dyDescent="0.2">
      <c r="A724" s="18"/>
      <c r="B724" s="18"/>
      <c r="C724" s="18" t="s">
        <v>465</v>
      </c>
      <c r="D724" s="19" t="s">
        <v>466</v>
      </c>
      <c r="E724" s="9">
        <f>Source!AT605</f>
        <v>70</v>
      </c>
      <c r="F724" s="21"/>
      <c r="G724" s="20"/>
      <c r="H724" s="9"/>
      <c r="I724" s="9"/>
      <c r="J724" s="21">
        <f>SUM(R721:R723)</f>
        <v>556.37</v>
      </c>
      <c r="K724" s="21"/>
    </row>
    <row r="725" spans="1:22" ht="14.25" x14ac:dyDescent="0.2">
      <c r="A725" s="18"/>
      <c r="B725" s="18"/>
      <c r="C725" s="18" t="s">
        <v>467</v>
      </c>
      <c r="D725" s="19" t="s">
        <v>466</v>
      </c>
      <c r="E725" s="9">
        <f>Source!AU605</f>
        <v>10</v>
      </c>
      <c r="F725" s="21"/>
      <c r="G725" s="20"/>
      <c r="H725" s="9"/>
      <c r="I725" s="9"/>
      <c r="J725" s="21">
        <f>SUM(T721:T724)</f>
        <v>79.48</v>
      </c>
      <c r="K725" s="21"/>
    </row>
    <row r="726" spans="1:22" ht="14.25" x14ac:dyDescent="0.2">
      <c r="A726" s="18"/>
      <c r="B726" s="18"/>
      <c r="C726" s="18" t="s">
        <v>469</v>
      </c>
      <c r="D726" s="19" t="s">
        <v>470</v>
      </c>
      <c r="E726" s="9">
        <f>Source!AQ605</f>
        <v>26.7</v>
      </c>
      <c r="F726" s="21"/>
      <c r="G726" s="20" t="str">
        <f>Source!DI605</f>
        <v/>
      </c>
      <c r="H726" s="9">
        <f>Source!AV605</f>
        <v>1</v>
      </c>
      <c r="I726" s="9"/>
      <c r="J726" s="21"/>
      <c r="K726" s="21">
        <f>Source!U605</f>
        <v>1.335</v>
      </c>
    </row>
    <row r="727" spans="1:22" ht="15" x14ac:dyDescent="0.25">
      <c r="A727" s="26"/>
      <c r="B727" s="26"/>
      <c r="C727" s="26"/>
      <c r="D727" s="26"/>
      <c r="E727" s="26"/>
      <c r="F727" s="26"/>
      <c r="G727" s="26"/>
      <c r="H727" s="26"/>
      <c r="I727" s="53">
        <f>J723+J724+J725</f>
        <v>1430.6599999999999</v>
      </c>
      <c r="J727" s="53"/>
      <c r="K727" s="27">
        <f>IF(Source!I605&lt;&gt;0, ROUND(I727/Source!I605, 2), 0)</f>
        <v>28613.200000000001</v>
      </c>
      <c r="P727" s="24">
        <f>I727</f>
        <v>1430.6599999999999</v>
      </c>
    </row>
    <row r="728" spans="1:22" ht="14.25" x14ac:dyDescent="0.2">
      <c r="A728" s="18">
        <v>73</v>
      </c>
      <c r="B728" s="18" t="str">
        <f>Source!F606</f>
        <v>1.16-2203-1-1/1</v>
      </c>
      <c r="C728" s="18" t="str">
        <f>Source!G606</f>
        <v>Прочистка сифонов</v>
      </c>
      <c r="D728" s="19" t="str">
        <f>Source!H606</f>
        <v>100 шт.</v>
      </c>
      <c r="E728" s="9">
        <f>Source!I606</f>
        <v>0.05</v>
      </c>
      <c r="F728" s="21"/>
      <c r="G728" s="20"/>
      <c r="H728" s="9"/>
      <c r="I728" s="9"/>
      <c r="J728" s="21"/>
      <c r="K728" s="21"/>
      <c r="Q728">
        <f>ROUND((Source!BZ606/100)*ROUND((Source!AF606*Source!AV606)*Source!I606, 2), 2)</f>
        <v>497.07</v>
      </c>
      <c r="R728">
        <f>Source!X606</f>
        <v>497.07</v>
      </c>
      <c r="S728">
        <f>ROUND((Source!CA606/100)*ROUND((Source!AF606*Source!AV606)*Source!I606, 2), 2)</f>
        <v>71.010000000000005</v>
      </c>
      <c r="T728">
        <f>Source!Y606</f>
        <v>71.010000000000005</v>
      </c>
      <c r="U728">
        <f>ROUND((175/100)*ROUND((Source!AE606*Source!AV606)*Source!I606, 2), 2)</f>
        <v>0</v>
      </c>
      <c r="V728">
        <f>ROUND((108/100)*ROUND(Source!CS606*Source!I606, 2), 2)</f>
        <v>0</v>
      </c>
    </row>
    <row r="729" spans="1:22" x14ac:dyDescent="0.2">
      <c r="C729" s="22" t="str">
        <f>"Объем: "&amp;Source!I606&amp;"=5/"&amp;"100"</f>
        <v>Объем: 0,05=5/100</v>
      </c>
    </row>
    <row r="730" spans="1:22" ht="14.25" x14ac:dyDescent="0.2">
      <c r="A730" s="18"/>
      <c r="B730" s="18"/>
      <c r="C730" s="18" t="s">
        <v>461</v>
      </c>
      <c r="D730" s="19"/>
      <c r="E730" s="9"/>
      <c r="F730" s="21">
        <f>Source!AO606</f>
        <v>14201.94</v>
      </c>
      <c r="G730" s="20" t="str">
        <f>Source!DG606</f>
        <v/>
      </c>
      <c r="H730" s="9">
        <f>Source!AV606</f>
        <v>1</v>
      </c>
      <c r="I730" s="9">
        <f>IF(Source!BA606&lt;&gt; 0, Source!BA606, 1)</f>
        <v>1</v>
      </c>
      <c r="J730" s="21">
        <f>Source!S606</f>
        <v>710.1</v>
      </c>
      <c r="K730" s="21"/>
    </row>
    <row r="731" spans="1:22" ht="14.25" x14ac:dyDescent="0.2">
      <c r="A731" s="18"/>
      <c r="B731" s="18"/>
      <c r="C731" s="18" t="s">
        <v>464</v>
      </c>
      <c r="D731" s="19"/>
      <c r="E731" s="9"/>
      <c r="F731" s="21">
        <f>Source!AL606</f>
        <v>243.57</v>
      </c>
      <c r="G731" s="20" t="str">
        <f>Source!DD606</f>
        <v/>
      </c>
      <c r="H731" s="9">
        <f>Source!AW606</f>
        <v>1</v>
      </c>
      <c r="I731" s="9">
        <f>IF(Source!BC606&lt;&gt; 0, Source!BC606, 1)</f>
        <v>1</v>
      </c>
      <c r="J731" s="21">
        <f>Source!P606</f>
        <v>12.18</v>
      </c>
      <c r="K731" s="21"/>
    </row>
    <row r="732" spans="1:22" ht="14.25" x14ac:dyDescent="0.2">
      <c r="A732" s="18"/>
      <c r="B732" s="18"/>
      <c r="C732" s="18" t="s">
        <v>465</v>
      </c>
      <c r="D732" s="19" t="s">
        <v>466</v>
      </c>
      <c r="E732" s="9">
        <f>Source!AT606</f>
        <v>70</v>
      </c>
      <c r="F732" s="21"/>
      <c r="G732" s="20"/>
      <c r="H732" s="9"/>
      <c r="I732" s="9"/>
      <c r="J732" s="21">
        <f>SUM(R728:R731)</f>
        <v>497.07</v>
      </c>
      <c r="K732" s="21"/>
    </row>
    <row r="733" spans="1:22" ht="14.25" x14ac:dyDescent="0.2">
      <c r="A733" s="18"/>
      <c r="B733" s="18"/>
      <c r="C733" s="18" t="s">
        <v>467</v>
      </c>
      <c r="D733" s="19" t="s">
        <v>466</v>
      </c>
      <c r="E733" s="9">
        <f>Source!AU606</f>
        <v>10</v>
      </c>
      <c r="F733" s="21"/>
      <c r="G733" s="20"/>
      <c r="H733" s="9"/>
      <c r="I733" s="9"/>
      <c r="J733" s="21">
        <f>SUM(T728:T732)</f>
        <v>71.010000000000005</v>
      </c>
      <c r="K733" s="21"/>
    </row>
    <row r="734" spans="1:22" ht="14.25" x14ac:dyDescent="0.2">
      <c r="A734" s="18"/>
      <c r="B734" s="18"/>
      <c r="C734" s="18" t="s">
        <v>469</v>
      </c>
      <c r="D734" s="19" t="s">
        <v>470</v>
      </c>
      <c r="E734" s="9">
        <f>Source!AQ606</f>
        <v>28.02</v>
      </c>
      <c r="F734" s="21"/>
      <c r="G734" s="20" t="str">
        <f>Source!DI606</f>
        <v/>
      </c>
      <c r="H734" s="9">
        <f>Source!AV606</f>
        <v>1</v>
      </c>
      <c r="I734" s="9"/>
      <c r="J734" s="21"/>
      <c r="K734" s="21">
        <f>Source!U606</f>
        <v>1.401</v>
      </c>
    </row>
    <row r="735" spans="1:22" ht="15" x14ac:dyDescent="0.25">
      <c r="A735" s="26"/>
      <c r="B735" s="26"/>
      <c r="C735" s="26"/>
      <c r="D735" s="26"/>
      <c r="E735" s="26"/>
      <c r="F735" s="26"/>
      <c r="G735" s="26"/>
      <c r="H735" s="26"/>
      <c r="I735" s="53">
        <f>J730+J731+J732+J733</f>
        <v>1290.3599999999999</v>
      </c>
      <c r="J735" s="53"/>
      <c r="K735" s="27">
        <f>IF(Source!I606&lt;&gt;0, ROUND(I735/Source!I606, 2), 0)</f>
        <v>25807.200000000001</v>
      </c>
      <c r="P735" s="24">
        <f>I735</f>
        <v>1290.3599999999999</v>
      </c>
    </row>
    <row r="736" spans="1:22" ht="28.5" x14ac:dyDescent="0.2">
      <c r="A736" s="18">
        <v>74</v>
      </c>
      <c r="B736" s="18" t="str">
        <f>Source!F609</f>
        <v>1.15-2303-4-1/1</v>
      </c>
      <c r="C736" s="18" t="str">
        <f>Source!G609</f>
        <v>Прочистка сетчатых фильтров грубой очистки воды диаметром до 25 мм</v>
      </c>
      <c r="D736" s="19" t="str">
        <f>Source!H609</f>
        <v>10 шт.</v>
      </c>
      <c r="E736" s="9">
        <f>Source!I609</f>
        <v>0.5</v>
      </c>
      <c r="F736" s="21"/>
      <c r="G736" s="20"/>
      <c r="H736" s="9"/>
      <c r="I736" s="9"/>
      <c r="J736" s="21"/>
      <c r="K736" s="21"/>
      <c r="Q736">
        <f>ROUND((Source!BZ609/100)*ROUND((Source!AF609*Source!AV609)*Source!I609, 2), 2)</f>
        <v>881.78</v>
      </c>
      <c r="R736">
        <f>Source!X609</f>
        <v>881.78</v>
      </c>
      <c r="S736">
        <f>ROUND((Source!CA609/100)*ROUND((Source!AF609*Source!AV609)*Source!I609, 2), 2)</f>
        <v>125.97</v>
      </c>
      <c r="T736">
        <f>Source!Y609</f>
        <v>125.97</v>
      </c>
      <c r="U736">
        <f>ROUND((175/100)*ROUND((Source!AE609*Source!AV609)*Source!I609, 2), 2)</f>
        <v>0</v>
      </c>
      <c r="V736">
        <f>ROUND((108/100)*ROUND(Source!CS609*Source!I609, 2), 2)</f>
        <v>0</v>
      </c>
    </row>
    <row r="737" spans="1:22" x14ac:dyDescent="0.2">
      <c r="C737" s="22" t="str">
        <f>"Объем: "&amp;Source!I609&amp;"=5/"&amp;"10"</f>
        <v>Объем: 0,5=5/10</v>
      </c>
    </row>
    <row r="738" spans="1:22" ht="14.25" x14ac:dyDescent="0.2">
      <c r="A738" s="18"/>
      <c r="B738" s="18"/>
      <c r="C738" s="18" t="s">
        <v>461</v>
      </c>
      <c r="D738" s="19"/>
      <c r="E738" s="9"/>
      <c r="F738" s="21">
        <f>Source!AO609</f>
        <v>1259.68</v>
      </c>
      <c r="G738" s="20" t="str">
        <f>Source!DG609</f>
        <v>)*2</v>
      </c>
      <c r="H738" s="9">
        <f>Source!AV609</f>
        <v>1</v>
      </c>
      <c r="I738" s="9">
        <f>IF(Source!BA609&lt;&gt; 0, Source!BA609, 1)</f>
        <v>1</v>
      </c>
      <c r="J738" s="21">
        <f>Source!S609</f>
        <v>1259.68</v>
      </c>
      <c r="K738" s="21"/>
    </row>
    <row r="739" spans="1:22" ht="14.25" x14ac:dyDescent="0.2">
      <c r="A739" s="18"/>
      <c r="B739" s="18"/>
      <c r="C739" s="18" t="s">
        <v>465</v>
      </c>
      <c r="D739" s="19" t="s">
        <v>466</v>
      </c>
      <c r="E739" s="9">
        <f>Source!AT609</f>
        <v>70</v>
      </c>
      <c r="F739" s="21"/>
      <c r="G739" s="20"/>
      <c r="H739" s="9"/>
      <c r="I739" s="9"/>
      <c r="J739" s="21">
        <f>SUM(R736:R738)</f>
        <v>881.78</v>
      </c>
      <c r="K739" s="21"/>
    </row>
    <row r="740" spans="1:22" ht="14.25" x14ac:dyDescent="0.2">
      <c r="A740" s="18"/>
      <c r="B740" s="18"/>
      <c r="C740" s="18" t="s">
        <v>467</v>
      </c>
      <c r="D740" s="19" t="s">
        <v>466</v>
      </c>
      <c r="E740" s="9">
        <f>Source!AU609</f>
        <v>10</v>
      </c>
      <c r="F740" s="21"/>
      <c r="G740" s="20"/>
      <c r="H740" s="9"/>
      <c r="I740" s="9"/>
      <c r="J740" s="21">
        <f>SUM(T736:T739)</f>
        <v>125.97</v>
      </c>
      <c r="K740" s="21"/>
    </row>
    <row r="741" spans="1:22" ht="14.25" x14ac:dyDescent="0.2">
      <c r="A741" s="18"/>
      <c r="B741" s="18"/>
      <c r="C741" s="18" t="s">
        <v>469</v>
      </c>
      <c r="D741" s="19" t="s">
        <v>470</v>
      </c>
      <c r="E741" s="9">
        <f>Source!AQ609</f>
        <v>2.04</v>
      </c>
      <c r="F741" s="21"/>
      <c r="G741" s="20" t="str">
        <f>Source!DI609</f>
        <v>)*2</v>
      </c>
      <c r="H741" s="9">
        <f>Source!AV609</f>
        <v>1</v>
      </c>
      <c r="I741" s="9"/>
      <c r="J741" s="21"/>
      <c r="K741" s="21">
        <f>Source!U609</f>
        <v>2.04</v>
      </c>
    </row>
    <row r="742" spans="1:22" ht="15" x14ac:dyDescent="0.25">
      <c r="A742" s="26"/>
      <c r="B742" s="26"/>
      <c r="C742" s="26"/>
      <c r="D742" s="26"/>
      <c r="E742" s="26"/>
      <c r="F742" s="26"/>
      <c r="G742" s="26"/>
      <c r="H742" s="26"/>
      <c r="I742" s="53">
        <f>J738+J739+J740</f>
        <v>2267.4299999999998</v>
      </c>
      <c r="J742" s="53"/>
      <c r="K742" s="27">
        <f>IF(Source!I609&lt;&gt;0, ROUND(I742/Source!I609, 2), 0)</f>
        <v>4534.8599999999997</v>
      </c>
      <c r="P742" s="24">
        <f>I742</f>
        <v>2267.4299999999998</v>
      </c>
    </row>
    <row r="743" spans="1:22" ht="57" x14ac:dyDescent="0.2">
      <c r="A743" s="18">
        <v>75</v>
      </c>
      <c r="B743" s="18" t="str">
        <f>Source!F612</f>
        <v>1.23-2103-41-1/1</v>
      </c>
      <c r="C743" s="18" t="str">
        <f>Source!G612</f>
        <v>Техническое обслуживание регулирующего клапана / Кран шаровой ПВХ 1/2 для подключения гибкой подводки</v>
      </c>
      <c r="D743" s="19" t="str">
        <f>Source!H612</f>
        <v>шт.</v>
      </c>
      <c r="E743" s="9">
        <f>Source!I612</f>
        <v>5</v>
      </c>
      <c r="F743" s="21"/>
      <c r="G743" s="20"/>
      <c r="H743" s="9"/>
      <c r="I743" s="9"/>
      <c r="J743" s="21"/>
      <c r="K743" s="21"/>
      <c r="Q743">
        <f>ROUND((Source!BZ612/100)*ROUND((Source!AF612*Source!AV612)*Source!I612, 2), 2)</f>
        <v>728</v>
      </c>
      <c r="R743">
        <f>Source!X612</f>
        <v>728</v>
      </c>
      <c r="S743">
        <f>ROUND((Source!CA612/100)*ROUND((Source!AF612*Source!AV612)*Source!I612, 2), 2)</f>
        <v>104</v>
      </c>
      <c r="T743">
        <f>Source!Y612</f>
        <v>104</v>
      </c>
      <c r="U743">
        <f>ROUND((175/100)*ROUND((Source!AE612*Source!AV612)*Source!I612, 2), 2)</f>
        <v>433.74</v>
      </c>
      <c r="V743">
        <f>ROUND((108/100)*ROUND(Source!CS612*Source!I612, 2), 2)</f>
        <v>267.68</v>
      </c>
    </row>
    <row r="744" spans="1:22" ht="14.25" x14ac:dyDescent="0.2">
      <c r="A744" s="18"/>
      <c r="B744" s="18"/>
      <c r="C744" s="18" t="s">
        <v>461</v>
      </c>
      <c r="D744" s="19"/>
      <c r="E744" s="9"/>
      <c r="F744" s="21">
        <f>Source!AO612</f>
        <v>208</v>
      </c>
      <c r="G744" s="20" t="str">
        <f>Source!DG612</f>
        <v/>
      </c>
      <c r="H744" s="9">
        <f>Source!AV612</f>
        <v>1</v>
      </c>
      <c r="I744" s="9">
        <f>IF(Source!BA612&lt;&gt; 0, Source!BA612, 1)</f>
        <v>1</v>
      </c>
      <c r="J744" s="21">
        <f>Source!S612</f>
        <v>1040</v>
      </c>
      <c r="K744" s="21"/>
    </row>
    <row r="745" spans="1:22" ht="14.25" x14ac:dyDescent="0.2">
      <c r="A745" s="18"/>
      <c r="B745" s="18"/>
      <c r="C745" s="18" t="s">
        <v>462</v>
      </c>
      <c r="D745" s="19"/>
      <c r="E745" s="9"/>
      <c r="F745" s="21">
        <f>Source!AM612</f>
        <v>78.180000000000007</v>
      </c>
      <c r="G745" s="20" t="str">
        <f>Source!DE612</f>
        <v/>
      </c>
      <c r="H745" s="9">
        <f>Source!AV612</f>
        <v>1</v>
      </c>
      <c r="I745" s="9">
        <f>IF(Source!BB612&lt;&gt; 0, Source!BB612, 1)</f>
        <v>1</v>
      </c>
      <c r="J745" s="21">
        <f>Source!Q612</f>
        <v>390.9</v>
      </c>
      <c r="K745" s="21"/>
    </row>
    <row r="746" spans="1:22" ht="14.25" x14ac:dyDescent="0.2">
      <c r="A746" s="18"/>
      <c r="B746" s="18"/>
      <c r="C746" s="18" t="s">
        <v>463</v>
      </c>
      <c r="D746" s="19"/>
      <c r="E746" s="9"/>
      <c r="F746" s="21">
        <f>Source!AN612</f>
        <v>49.57</v>
      </c>
      <c r="G746" s="20" t="str">
        <f>Source!DF612</f>
        <v/>
      </c>
      <c r="H746" s="9">
        <f>Source!AV612</f>
        <v>1</v>
      </c>
      <c r="I746" s="9">
        <f>IF(Source!BS612&lt;&gt; 0, Source!BS612, 1)</f>
        <v>1</v>
      </c>
      <c r="J746" s="23">
        <f>Source!R612</f>
        <v>247.85</v>
      </c>
      <c r="K746" s="21"/>
    </row>
    <row r="747" spans="1:22" ht="14.25" x14ac:dyDescent="0.2">
      <c r="A747" s="18"/>
      <c r="B747" s="18"/>
      <c r="C747" s="18" t="s">
        <v>465</v>
      </c>
      <c r="D747" s="19" t="s">
        <v>466</v>
      </c>
      <c r="E747" s="9">
        <f>Source!AT612</f>
        <v>70</v>
      </c>
      <c r="F747" s="21"/>
      <c r="G747" s="20"/>
      <c r="H747" s="9"/>
      <c r="I747" s="9"/>
      <c r="J747" s="21">
        <f>SUM(R743:R746)</f>
        <v>728</v>
      </c>
      <c r="K747" s="21"/>
    </row>
    <row r="748" spans="1:22" ht="14.25" x14ac:dyDescent="0.2">
      <c r="A748" s="18"/>
      <c r="B748" s="18"/>
      <c r="C748" s="18" t="s">
        <v>467</v>
      </c>
      <c r="D748" s="19" t="s">
        <v>466</v>
      </c>
      <c r="E748" s="9">
        <f>Source!AU612</f>
        <v>10</v>
      </c>
      <c r="F748" s="21"/>
      <c r="G748" s="20"/>
      <c r="H748" s="9"/>
      <c r="I748" s="9"/>
      <c r="J748" s="21">
        <f>SUM(T743:T747)</f>
        <v>104</v>
      </c>
      <c r="K748" s="21"/>
    </row>
    <row r="749" spans="1:22" ht="14.25" x14ac:dyDescent="0.2">
      <c r="A749" s="18"/>
      <c r="B749" s="18"/>
      <c r="C749" s="18" t="s">
        <v>468</v>
      </c>
      <c r="D749" s="19" t="s">
        <v>466</v>
      </c>
      <c r="E749" s="9">
        <f>108</f>
        <v>108</v>
      </c>
      <c r="F749" s="21"/>
      <c r="G749" s="20"/>
      <c r="H749" s="9"/>
      <c r="I749" s="9"/>
      <c r="J749" s="21">
        <f>SUM(V743:V748)</f>
        <v>267.68</v>
      </c>
      <c r="K749" s="21"/>
    </row>
    <row r="750" spans="1:22" ht="14.25" x14ac:dyDescent="0.2">
      <c r="A750" s="18"/>
      <c r="B750" s="18"/>
      <c r="C750" s="18" t="s">
        <v>469</v>
      </c>
      <c r="D750" s="19" t="s">
        <v>470</v>
      </c>
      <c r="E750" s="9">
        <f>Source!AQ612</f>
        <v>0.37</v>
      </c>
      <c r="F750" s="21"/>
      <c r="G750" s="20" t="str">
        <f>Source!DI612</f>
        <v/>
      </c>
      <c r="H750" s="9">
        <f>Source!AV612</f>
        <v>1</v>
      </c>
      <c r="I750" s="9"/>
      <c r="J750" s="21"/>
      <c r="K750" s="21">
        <f>Source!U612</f>
        <v>1.85</v>
      </c>
    </row>
    <row r="751" spans="1:22" ht="15" x14ac:dyDescent="0.25">
      <c r="A751" s="26"/>
      <c r="B751" s="26"/>
      <c r="C751" s="26"/>
      <c r="D751" s="26"/>
      <c r="E751" s="26"/>
      <c r="F751" s="26"/>
      <c r="G751" s="26"/>
      <c r="H751" s="26"/>
      <c r="I751" s="53">
        <f>J744+J745+J747+J748+J749</f>
        <v>2530.58</v>
      </c>
      <c r="J751" s="53"/>
      <c r="K751" s="27">
        <f>IF(Source!I612&lt;&gt;0, ROUND(I751/Source!I612, 2), 0)</f>
        <v>506.12</v>
      </c>
      <c r="P751" s="24">
        <f>I751</f>
        <v>2530.58</v>
      </c>
    </row>
    <row r="753" spans="1:22" ht="15" x14ac:dyDescent="0.25">
      <c r="A753" s="57" t="str">
        <f>CONCATENATE("Итого по подразделу: ",IF(Source!G618&lt;&gt;"Новый подраздел", Source!G618, ""))</f>
        <v>Итого по подразделу: Оборудование водоснабжения и водоотведения</v>
      </c>
      <c r="B753" s="57"/>
      <c r="C753" s="57"/>
      <c r="D753" s="57"/>
      <c r="E753" s="57"/>
      <c r="F753" s="57"/>
      <c r="G753" s="57"/>
      <c r="H753" s="57"/>
      <c r="I753" s="55">
        <f>SUM(P669:P752)</f>
        <v>108792.35999999999</v>
      </c>
      <c r="J753" s="56"/>
      <c r="K753" s="28"/>
    </row>
    <row r="756" spans="1:22" ht="16.5" x14ac:dyDescent="0.25">
      <c r="A756" s="54" t="str">
        <f>CONCATENATE("Подраздел: ",IF(Source!G648&lt;&gt;"Новый подраздел", Source!G648, ""))</f>
        <v>Подраздел: Кондиционирование</v>
      </c>
      <c r="B756" s="54"/>
      <c r="C756" s="54"/>
      <c r="D756" s="54"/>
      <c r="E756" s="54"/>
      <c r="F756" s="54"/>
      <c r="G756" s="54"/>
      <c r="H756" s="54"/>
      <c r="I756" s="54"/>
      <c r="J756" s="54"/>
      <c r="K756" s="54"/>
    </row>
    <row r="757" spans="1:22" ht="42.75" x14ac:dyDescent="0.2">
      <c r="A757" s="18">
        <v>76</v>
      </c>
      <c r="B757" s="18" t="str">
        <f>Source!F652</f>
        <v>1.18-2403-19-5/1</v>
      </c>
      <c r="C757" s="18" t="str">
        <f>Source!G652</f>
        <v>Техническое обслуживание внутренних настенных блоков сплит систем мощностью до 7 кВт - полугодовое</v>
      </c>
      <c r="D757" s="19" t="str">
        <f>Source!H652</f>
        <v>1 блок</v>
      </c>
      <c r="E757" s="9">
        <f>Source!I652</f>
        <v>5</v>
      </c>
      <c r="F757" s="21"/>
      <c r="G757" s="20"/>
      <c r="H757" s="9"/>
      <c r="I757" s="9"/>
      <c r="J757" s="21"/>
      <c r="K757" s="21"/>
      <c r="Q757">
        <f>ROUND((Source!BZ652/100)*ROUND((Source!AF652*Source!AV652)*Source!I652, 2), 2)</f>
        <v>3297.98</v>
      </c>
      <c r="R757">
        <f>Source!X652</f>
        <v>3297.98</v>
      </c>
      <c r="S757">
        <f>ROUND((Source!CA652/100)*ROUND((Source!AF652*Source!AV652)*Source!I652, 2), 2)</f>
        <v>471.14</v>
      </c>
      <c r="T757">
        <f>Source!Y652</f>
        <v>471.14</v>
      </c>
      <c r="U757">
        <f>ROUND((175/100)*ROUND((Source!AE652*Source!AV652)*Source!I652, 2), 2)</f>
        <v>0.18</v>
      </c>
      <c r="V757">
        <f>ROUND((108/100)*ROUND(Source!CS652*Source!I652, 2), 2)</f>
        <v>0.11</v>
      </c>
    </row>
    <row r="758" spans="1:22" ht="14.25" x14ac:dyDescent="0.2">
      <c r="A758" s="18"/>
      <c r="B758" s="18"/>
      <c r="C758" s="18" t="s">
        <v>461</v>
      </c>
      <c r="D758" s="19"/>
      <c r="E758" s="9"/>
      <c r="F758" s="21">
        <f>Source!AO652</f>
        <v>942.28</v>
      </c>
      <c r="G758" s="20" t="str">
        <f>Source!DG652</f>
        <v/>
      </c>
      <c r="H758" s="9">
        <f>Source!AV652</f>
        <v>1</v>
      </c>
      <c r="I758" s="9">
        <f>IF(Source!BA652&lt;&gt; 0, Source!BA652, 1)</f>
        <v>1</v>
      </c>
      <c r="J758" s="21">
        <f>Source!S652</f>
        <v>4711.3999999999996</v>
      </c>
      <c r="K758" s="21"/>
    </row>
    <row r="759" spans="1:22" ht="14.25" x14ac:dyDescent="0.2">
      <c r="A759" s="18"/>
      <c r="B759" s="18"/>
      <c r="C759" s="18" t="s">
        <v>462</v>
      </c>
      <c r="D759" s="19"/>
      <c r="E759" s="9"/>
      <c r="F759" s="21">
        <f>Source!AM652</f>
        <v>1.79</v>
      </c>
      <c r="G759" s="20" t="str">
        <f>Source!DE652</f>
        <v/>
      </c>
      <c r="H759" s="9">
        <f>Source!AV652</f>
        <v>1</v>
      </c>
      <c r="I759" s="9">
        <f>IF(Source!BB652&lt;&gt; 0, Source!BB652, 1)</f>
        <v>1</v>
      </c>
      <c r="J759" s="21">
        <f>Source!Q652</f>
        <v>8.9499999999999993</v>
      </c>
      <c r="K759" s="21"/>
    </row>
    <row r="760" spans="1:22" ht="14.25" x14ac:dyDescent="0.2">
      <c r="A760" s="18"/>
      <c r="B760" s="18"/>
      <c r="C760" s="18" t="s">
        <v>463</v>
      </c>
      <c r="D760" s="19"/>
      <c r="E760" s="9"/>
      <c r="F760" s="21">
        <f>Source!AN652</f>
        <v>0.02</v>
      </c>
      <c r="G760" s="20" t="str">
        <f>Source!DF652</f>
        <v/>
      </c>
      <c r="H760" s="9">
        <f>Source!AV652</f>
        <v>1</v>
      </c>
      <c r="I760" s="9">
        <f>IF(Source!BS652&lt;&gt; 0, Source!BS652, 1)</f>
        <v>1</v>
      </c>
      <c r="J760" s="23">
        <f>Source!R652</f>
        <v>0.1</v>
      </c>
      <c r="K760" s="21"/>
    </row>
    <row r="761" spans="1:22" ht="14.25" x14ac:dyDescent="0.2">
      <c r="A761" s="18"/>
      <c r="B761" s="18"/>
      <c r="C761" s="18" t="s">
        <v>464</v>
      </c>
      <c r="D761" s="19"/>
      <c r="E761" s="9"/>
      <c r="F761" s="21">
        <f>Source!AL652</f>
        <v>0.74</v>
      </c>
      <c r="G761" s="20" t="str">
        <f>Source!DD652</f>
        <v/>
      </c>
      <c r="H761" s="9">
        <f>Source!AW652</f>
        <v>1</v>
      </c>
      <c r="I761" s="9">
        <f>IF(Source!BC652&lt;&gt; 0, Source!BC652, 1)</f>
        <v>1</v>
      </c>
      <c r="J761" s="21">
        <f>Source!P652</f>
        <v>3.7</v>
      </c>
      <c r="K761" s="21"/>
    </row>
    <row r="762" spans="1:22" ht="14.25" x14ac:dyDescent="0.2">
      <c r="A762" s="18"/>
      <c r="B762" s="18"/>
      <c r="C762" s="18" t="s">
        <v>465</v>
      </c>
      <c r="D762" s="19" t="s">
        <v>466</v>
      </c>
      <c r="E762" s="9">
        <f>Source!AT652</f>
        <v>70</v>
      </c>
      <c r="F762" s="21"/>
      <c r="G762" s="20"/>
      <c r="H762" s="9"/>
      <c r="I762" s="9"/>
      <c r="J762" s="21">
        <f>SUM(R757:R761)</f>
        <v>3297.98</v>
      </c>
      <c r="K762" s="21"/>
    </row>
    <row r="763" spans="1:22" ht="14.25" x14ac:dyDescent="0.2">
      <c r="A763" s="18"/>
      <c r="B763" s="18"/>
      <c r="C763" s="18" t="s">
        <v>467</v>
      </c>
      <c r="D763" s="19" t="s">
        <v>466</v>
      </c>
      <c r="E763" s="9">
        <f>Source!AU652</f>
        <v>10</v>
      </c>
      <c r="F763" s="21"/>
      <c r="G763" s="20"/>
      <c r="H763" s="9"/>
      <c r="I763" s="9"/>
      <c r="J763" s="21">
        <f>SUM(T757:T762)</f>
        <v>471.14</v>
      </c>
      <c r="K763" s="21"/>
    </row>
    <row r="764" spans="1:22" ht="14.25" x14ac:dyDescent="0.2">
      <c r="A764" s="18"/>
      <c r="B764" s="18"/>
      <c r="C764" s="18" t="s">
        <v>468</v>
      </c>
      <c r="D764" s="19" t="s">
        <v>466</v>
      </c>
      <c r="E764" s="9">
        <f>108</f>
        <v>108</v>
      </c>
      <c r="F764" s="21"/>
      <c r="G764" s="20"/>
      <c r="H764" s="9"/>
      <c r="I764" s="9"/>
      <c r="J764" s="21">
        <f>SUM(V757:V763)</f>
        <v>0.11</v>
      </c>
      <c r="K764" s="21"/>
    </row>
    <row r="765" spans="1:22" ht="14.25" x14ac:dyDescent="0.2">
      <c r="A765" s="18"/>
      <c r="B765" s="18"/>
      <c r="C765" s="18" t="s">
        <v>469</v>
      </c>
      <c r="D765" s="19" t="s">
        <v>470</v>
      </c>
      <c r="E765" s="9">
        <f>Source!AQ652</f>
        <v>1.42</v>
      </c>
      <c r="F765" s="21"/>
      <c r="G765" s="20" t="str">
        <f>Source!DI652</f>
        <v/>
      </c>
      <c r="H765" s="9">
        <f>Source!AV652</f>
        <v>1</v>
      </c>
      <c r="I765" s="9"/>
      <c r="J765" s="21"/>
      <c r="K765" s="21">
        <f>Source!U652</f>
        <v>7.1</v>
      </c>
    </row>
    <row r="766" spans="1:22" ht="15" x14ac:dyDescent="0.25">
      <c r="A766" s="26"/>
      <c r="B766" s="26"/>
      <c r="C766" s="26"/>
      <c r="D766" s="26"/>
      <c r="E766" s="26"/>
      <c r="F766" s="26"/>
      <c r="G766" s="26"/>
      <c r="H766" s="26"/>
      <c r="I766" s="53">
        <f>J758+J759+J761+J762+J763+J764</f>
        <v>8493.2799999999988</v>
      </c>
      <c r="J766" s="53"/>
      <c r="K766" s="27">
        <f>IF(Source!I652&lt;&gt;0, ROUND(I766/Source!I652, 2), 0)</f>
        <v>1698.66</v>
      </c>
      <c r="P766" s="24">
        <f>I766</f>
        <v>8493.2799999999988</v>
      </c>
    </row>
    <row r="767" spans="1:22" ht="42.75" x14ac:dyDescent="0.2">
      <c r="A767" s="18">
        <v>77</v>
      </c>
      <c r="B767" s="18" t="str">
        <f>Source!F655</f>
        <v>1.18-2403-18-3/1</v>
      </c>
      <c r="C767" s="18" t="str">
        <f>Source!G655</f>
        <v>Техническое обслуживание наружных блоков сплит систем мощностью до 10 кВт - полугодовое</v>
      </c>
      <c r="D767" s="19" t="str">
        <f>Source!H655</f>
        <v>1 блок</v>
      </c>
      <c r="E767" s="9">
        <f>Source!I655</f>
        <v>5</v>
      </c>
      <c r="F767" s="21"/>
      <c r="G767" s="20"/>
      <c r="H767" s="9"/>
      <c r="I767" s="9"/>
      <c r="J767" s="21"/>
      <c r="K767" s="21"/>
      <c r="Q767">
        <f>ROUND((Source!BZ655/100)*ROUND((Source!AF655*Source!AV655)*Source!I655, 2), 2)</f>
        <v>5759.85</v>
      </c>
      <c r="R767">
        <f>Source!X655</f>
        <v>5759.85</v>
      </c>
      <c r="S767">
        <f>ROUND((Source!CA655/100)*ROUND((Source!AF655*Source!AV655)*Source!I655, 2), 2)</f>
        <v>822.84</v>
      </c>
      <c r="T767">
        <f>Source!Y655</f>
        <v>822.84</v>
      </c>
      <c r="U767">
        <f>ROUND((175/100)*ROUND((Source!AE655*Source!AV655)*Source!I655, 2), 2)</f>
        <v>0.44</v>
      </c>
      <c r="V767">
        <f>ROUND((108/100)*ROUND(Source!CS655*Source!I655, 2), 2)</f>
        <v>0.27</v>
      </c>
    </row>
    <row r="768" spans="1:22" ht="14.25" x14ac:dyDescent="0.2">
      <c r="A768" s="18"/>
      <c r="B768" s="18"/>
      <c r="C768" s="18" t="s">
        <v>461</v>
      </c>
      <c r="D768" s="19"/>
      <c r="E768" s="9"/>
      <c r="F768" s="21">
        <f>Source!AO655</f>
        <v>1645.67</v>
      </c>
      <c r="G768" s="20" t="str">
        <f>Source!DG655</f>
        <v/>
      </c>
      <c r="H768" s="9">
        <f>Source!AV655</f>
        <v>1</v>
      </c>
      <c r="I768" s="9">
        <f>IF(Source!BA655&lt;&gt; 0, Source!BA655, 1)</f>
        <v>1</v>
      </c>
      <c r="J768" s="21">
        <f>Source!S655</f>
        <v>8228.35</v>
      </c>
      <c r="K768" s="21"/>
    </row>
    <row r="769" spans="1:22" ht="14.25" x14ac:dyDescent="0.2">
      <c r="A769" s="18"/>
      <c r="B769" s="18"/>
      <c r="C769" s="18" t="s">
        <v>462</v>
      </c>
      <c r="D769" s="19"/>
      <c r="E769" s="9"/>
      <c r="F769" s="21">
        <f>Source!AM655</f>
        <v>3.49</v>
      </c>
      <c r="G769" s="20" t="str">
        <f>Source!DE655</f>
        <v/>
      </c>
      <c r="H769" s="9">
        <f>Source!AV655</f>
        <v>1</v>
      </c>
      <c r="I769" s="9">
        <f>IF(Source!BB655&lt;&gt; 0, Source!BB655, 1)</f>
        <v>1</v>
      </c>
      <c r="J769" s="21">
        <f>Source!Q655</f>
        <v>17.45</v>
      </c>
      <c r="K769" s="21"/>
    </row>
    <row r="770" spans="1:22" ht="14.25" x14ac:dyDescent="0.2">
      <c r="A770" s="18"/>
      <c r="B770" s="18"/>
      <c r="C770" s="18" t="s">
        <v>463</v>
      </c>
      <c r="D770" s="19"/>
      <c r="E770" s="9"/>
      <c r="F770" s="21">
        <f>Source!AN655</f>
        <v>0.05</v>
      </c>
      <c r="G770" s="20" t="str">
        <f>Source!DF655</f>
        <v/>
      </c>
      <c r="H770" s="9">
        <f>Source!AV655</f>
        <v>1</v>
      </c>
      <c r="I770" s="9">
        <f>IF(Source!BS655&lt;&gt; 0, Source!BS655, 1)</f>
        <v>1</v>
      </c>
      <c r="J770" s="23">
        <f>Source!R655</f>
        <v>0.25</v>
      </c>
      <c r="K770" s="21"/>
    </row>
    <row r="771" spans="1:22" ht="14.25" x14ac:dyDescent="0.2">
      <c r="A771" s="18"/>
      <c r="B771" s="18"/>
      <c r="C771" s="18" t="s">
        <v>464</v>
      </c>
      <c r="D771" s="19"/>
      <c r="E771" s="9"/>
      <c r="F771" s="21">
        <f>Source!AL655</f>
        <v>0.94</v>
      </c>
      <c r="G771" s="20" t="str">
        <f>Source!DD655</f>
        <v/>
      </c>
      <c r="H771" s="9">
        <f>Source!AW655</f>
        <v>1</v>
      </c>
      <c r="I771" s="9">
        <f>IF(Source!BC655&lt;&gt; 0, Source!BC655, 1)</f>
        <v>1</v>
      </c>
      <c r="J771" s="21">
        <f>Source!P655</f>
        <v>4.7</v>
      </c>
      <c r="K771" s="21"/>
    </row>
    <row r="772" spans="1:22" ht="14.25" x14ac:dyDescent="0.2">
      <c r="A772" s="18"/>
      <c r="B772" s="18"/>
      <c r="C772" s="18" t="s">
        <v>465</v>
      </c>
      <c r="D772" s="19" t="s">
        <v>466</v>
      </c>
      <c r="E772" s="9">
        <f>Source!AT655</f>
        <v>70</v>
      </c>
      <c r="F772" s="21"/>
      <c r="G772" s="20"/>
      <c r="H772" s="9"/>
      <c r="I772" s="9"/>
      <c r="J772" s="21">
        <f>SUM(R767:R771)</f>
        <v>5759.85</v>
      </c>
      <c r="K772" s="21"/>
    </row>
    <row r="773" spans="1:22" ht="14.25" x14ac:dyDescent="0.2">
      <c r="A773" s="18"/>
      <c r="B773" s="18"/>
      <c r="C773" s="18" t="s">
        <v>467</v>
      </c>
      <c r="D773" s="19" t="s">
        <v>466</v>
      </c>
      <c r="E773" s="9">
        <f>Source!AU655</f>
        <v>10</v>
      </c>
      <c r="F773" s="21"/>
      <c r="G773" s="20"/>
      <c r="H773" s="9"/>
      <c r="I773" s="9"/>
      <c r="J773" s="21">
        <f>SUM(T767:T772)</f>
        <v>822.84</v>
      </c>
      <c r="K773" s="21"/>
    </row>
    <row r="774" spans="1:22" ht="14.25" x14ac:dyDescent="0.2">
      <c r="A774" s="18"/>
      <c r="B774" s="18"/>
      <c r="C774" s="18" t="s">
        <v>468</v>
      </c>
      <c r="D774" s="19" t="s">
        <v>466</v>
      </c>
      <c r="E774" s="9">
        <f>108</f>
        <v>108</v>
      </c>
      <c r="F774" s="21"/>
      <c r="G774" s="20"/>
      <c r="H774" s="9"/>
      <c r="I774" s="9"/>
      <c r="J774" s="21">
        <f>SUM(V767:V773)</f>
        <v>0.27</v>
      </c>
      <c r="K774" s="21"/>
    </row>
    <row r="775" spans="1:22" ht="14.25" x14ac:dyDescent="0.2">
      <c r="A775" s="18"/>
      <c r="B775" s="18"/>
      <c r="C775" s="18" t="s">
        <v>469</v>
      </c>
      <c r="D775" s="19" t="s">
        <v>470</v>
      </c>
      <c r="E775" s="9">
        <f>Source!AQ655</f>
        <v>2.48</v>
      </c>
      <c r="F775" s="21"/>
      <c r="G775" s="20" t="str">
        <f>Source!DI655</f>
        <v/>
      </c>
      <c r="H775" s="9">
        <f>Source!AV655</f>
        <v>1</v>
      </c>
      <c r="I775" s="9"/>
      <c r="J775" s="21"/>
      <c r="K775" s="21">
        <f>Source!U655</f>
        <v>12.4</v>
      </c>
    </row>
    <row r="776" spans="1:22" ht="15" x14ac:dyDescent="0.25">
      <c r="A776" s="26"/>
      <c r="B776" s="26"/>
      <c r="C776" s="26"/>
      <c r="D776" s="26"/>
      <c r="E776" s="26"/>
      <c r="F776" s="26"/>
      <c r="G776" s="26"/>
      <c r="H776" s="26"/>
      <c r="I776" s="53">
        <f>J768+J769+J771+J772+J773+J774</f>
        <v>14833.460000000003</v>
      </c>
      <c r="J776" s="53"/>
      <c r="K776" s="27">
        <f>IF(Source!I655&lt;&gt;0, ROUND(I776/Source!I655, 2), 0)</f>
        <v>2966.69</v>
      </c>
      <c r="P776" s="24">
        <f>I776</f>
        <v>14833.460000000003</v>
      </c>
    </row>
    <row r="778" spans="1:22" ht="15" x14ac:dyDescent="0.25">
      <c r="A778" s="57" t="str">
        <f>CONCATENATE("Итого по подразделу: ",IF(Source!G665&lt;&gt;"Новый подраздел", Source!G665, ""))</f>
        <v>Итого по подразделу: Кондиционирование</v>
      </c>
      <c r="B778" s="57"/>
      <c r="C778" s="57"/>
      <c r="D778" s="57"/>
      <c r="E778" s="57"/>
      <c r="F778" s="57"/>
      <c r="G778" s="57"/>
      <c r="H778" s="57"/>
      <c r="I778" s="55">
        <f>SUM(P756:P777)</f>
        <v>23326.74</v>
      </c>
      <c r="J778" s="56"/>
      <c r="K778" s="28"/>
    </row>
    <row r="781" spans="1:22" ht="16.5" x14ac:dyDescent="0.25">
      <c r="A781" s="54" t="str">
        <f>CONCATENATE("Подраздел: ",IF(Source!G695&lt;&gt;"Новый подраздел", Source!G695, ""))</f>
        <v>Подраздел: Электрооборудование</v>
      </c>
      <c r="B781" s="54"/>
      <c r="C781" s="54"/>
      <c r="D781" s="54"/>
      <c r="E781" s="54"/>
      <c r="F781" s="54"/>
      <c r="G781" s="54"/>
      <c r="H781" s="54"/>
      <c r="I781" s="54"/>
      <c r="J781" s="54"/>
      <c r="K781" s="54"/>
    </row>
    <row r="782" spans="1:22" ht="71.25" x14ac:dyDescent="0.2">
      <c r="A782" s="18">
        <v>78</v>
      </c>
      <c r="B782" s="18" t="str">
        <f>Source!F699</f>
        <v>1.21-2203-2-5/1</v>
      </c>
      <c r="C782" s="18" t="str">
        <f>Source!G699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D782" s="19" t="str">
        <f>Source!H699</f>
        <v>шт.</v>
      </c>
      <c r="E782" s="9">
        <f>Source!I699</f>
        <v>5</v>
      </c>
      <c r="F782" s="21"/>
      <c r="G782" s="20"/>
      <c r="H782" s="9"/>
      <c r="I782" s="9"/>
      <c r="J782" s="21"/>
      <c r="K782" s="21"/>
      <c r="Q782">
        <f>ROUND((Source!BZ699/100)*ROUND((Source!AF699*Source!AV699)*Source!I699, 2), 2)</f>
        <v>51869.16</v>
      </c>
      <c r="R782">
        <f>Source!X699</f>
        <v>51869.16</v>
      </c>
      <c r="S782">
        <f>ROUND((Source!CA699/100)*ROUND((Source!AF699*Source!AV699)*Source!I699, 2), 2)</f>
        <v>7409.88</v>
      </c>
      <c r="T782">
        <f>Source!Y699</f>
        <v>7409.88</v>
      </c>
      <c r="U782">
        <f>ROUND((175/100)*ROUND((Source!AE699*Source!AV699)*Source!I699, 2), 2)</f>
        <v>0</v>
      </c>
      <c r="V782">
        <f>ROUND((108/100)*ROUND(Source!CS699*Source!I699, 2), 2)</f>
        <v>0</v>
      </c>
    </row>
    <row r="783" spans="1:22" ht="14.25" x14ac:dyDescent="0.2">
      <c r="A783" s="18"/>
      <c r="B783" s="18"/>
      <c r="C783" s="18" t="s">
        <v>461</v>
      </c>
      <c r="D783" s="19"/>
      <c r="E783" s="9"/>
      <c r="F783" s="21">
        <f>Source!AO699</f>
        <v>14819.76</v>
      </c>
      <c r="G783" s="20" t="str">
        <f>Source!DG699</f>
        <v/>
      </c>
      <c r="H783" s="9">
        <f>Source!AV699</f>
        <v>1</v>
      </c>
      <c r="I783" s="9">
        <f>IF(Source!BA699&lt;&gt; 0, Source!BA699, 1)</f>
        <v>1</v>
      </c>
      <c r="J783" s="21">
        <f>Source!S699</f>
        <v>74098.8</v>
      </c>
      <c r="K783" s="21"/>
    </row>
    <row r="784" spans="1:22" ht="14.25" x14ac:dyDescent="0.2">
      <c r="A784" s="18"/>
      <c r="B784" s="18"/>
      <c r="C784" s="18" t="s">
        <v>464</v>
      </c>
      <c r="D784" s="19"/>
      <c r="E784" s="9"/>
      <c r="F784" s="21">
        <f>Source!AL699</f>
        <v>205.53</v>
      </c>
      <c r="G784" s="20" t="str">
        <f>Source!DD699</f>
        <v/>
      </c>
      <c r="H784" s="9">
        <f>Source!AW699</f>
        <v>1</v>
      </c>
      <c r="I784" s="9">
        <f>IF(Source!BC699&lt;&gt; 0, Source!BC699, 1)</f>
        <v>1</v>
      </c>
      <c r="J784" s="21">
        <f>Source!P699</f>
        <v>1027.6500000000001</v>
      </c>
      <c r="K784" s="21"/>
    </row>
    <row r="785" spans="1:22" ht="14.25" x14ac:dyDescent="0.2">
      <c r="A785" s="18"/>
      <c r="B785" s="18"/>
      <c r="C785" s="18" t="s">
        <v>465</v>
      </c>
      <c r="D785" s="19" t="s">
        <v>466</v>
      </c>
      <c r="E785" s="9">
        <f>Source!AT699</f>
        <v>70</v>
      </c>
      <c r="F785" s="21"/>
      <c r="G785" s="20"/>
      <c r="H785" s="9"/>
      <c r="I785" s="9"/>
      <c r="J785" s="21">
        <f>SUM(R782:R784)</f>
        <v>51869.16</v>
      </c>
      <c r="K785" s="21"/>
    </row>
    <row r="786" spans="1:22" ht="14.25" x14ac:dyDescent="0.2">
      <c r="A786" s="18"/>
      <c r="B786" s="18"/>
      <c r="C786" s="18" t="s">
        <v>467</v>
      </c>
      <c r="D786" s="19" t="s">
        <v>466</v>
      </c>
      <c r="E786" s="9">
        <f>Source!AU699</f>
        <v>10</v>
      </c>
      <c r="F786" s="21"/>
      <c r="G786" s="20"/>
      <c r="H786" s="9"/>
      <c r="I786" s="9"/>
      <c r="J786" s="21">
        <f>SUM(T782:T785)</f>
        <v>7409.88</v>
      </c>
      <c r="K786" s="21"/>
    </row>
    <row r="787" spans="1:22" ht="14.25" x14ac:dyDescent="0.2">
      <c r="A787" s="18"/>
      <c r="B787" s="18"/>
      <c r="C787" s="18" t="s">
        <v>469</v>
      </c>
      <c r="D787" s="19" t="s">
        <v>470</v>
      </c>
      <c r="E787" s="9">
        <f>Source!AQ699</f>
        <v>24</v>
      </c>
      <c r="F787" s="21"/>
      <c r="G787" s="20" t="str">
        <f>Source!DI699</f>
        <v/>
      </c>
      <c r="H787" s="9">
        <f>Source!AV699</f>
        <v>1</v>
      </c>
      <c r="I787" s="9"/>
      <c r="J787" s="21"/>
      <c r="K787" s="21">
        <f>Source!U699</f>
        <v>120</v>
      </c>
    </row>
    <row r="788" spans="1:22" ht="15" x14ac:dyDescent="0.25">
      <c r="A788" s="26"/>
      <c r="B788" s="26"/>
      <c r="C788" s="26"/>
      <c r="D788" s="26"/>
      <c r="E788" s="26"/>
      <c r="F788" s="26"/>
      <c r="G788" s="26"/>
      <c r="H788" s="26"/>
      <c r="I788" s="53">
        <f>J783+J784+J785+J786</f>
        <v>134405.49</v>
      </c>
      <c r="J788" s="53"/>
      <c r="K788" s="27">
        <f>IF(Source!I699&lt;&gt;0, ROUND(I788/Source!I699, 2), 0)</f>
        <v>26881.1</v>
      </c>
      <c r="P788" s="24">
        <f>I788</f>
        <v>134405.49</v>
      </c>
    </row>
    <row r="789" spans="1:22" ht="57" x14ac:dyDescent="0.2">
      <c r="A789" s="18">
        <v>79</v>
      </c>
      <c r="B789" s="18" t="str">
        <f>Source!F702</f>
        <v>1.21-2303-50-1/1</v>
      </c>
      <c r="C789" s="18" t="str">
        <f>Source!G702</f>
        <v>Техническое обслуживание  конвектора электрического настенного крепления, с механическим термостатом, мощность до 2,0 кВт</v>
      </c>
      <c r="D789" s="19" t="str">
        <f>Source!H702</f>
        <v>шт.</v>
      </c>
      <c r="E789" s="9">
        <f>Source!I702</f>
        <v>15</v>
      </c>
      <c r="F789" s="21"/>
      <c r="G789" s="20"/>
      <c r="H789" s="9"/>
      <c r="I789" s="9"/>
      <c r="J789" s="21"/>
      <c r="K789" s="21"/>
      <c r="Q789">
        <f>ROUND((Source!BZ702/100)*ROUND((Source!AF702*Source!AV702)*Source!I702, 2), 2)</f>
        <v>907.73</v>
      </c>
      <c r="R789">
        <f>Source!X702</f>
        <v>907.73</v>
      </c>
      <c r="S789">
        <f>ROUND((Source!CA702/100)*ROUND((Source!AF702*Source!AV702)*Source!I702, 2), 2)</f>
        <v>129.68</v>
      </c>
      <c r="T789">
        <f>Source!Y702</f>
        <v>129.68</v>
      </c>
      <c r="U789">
        <f>ROUND((175/100)*ROUND((Source!AE702*Source!AV702)*Source!I702, 2), 2)</f>
        <v>0</v>
      </c>
      <c r="V789">
        <f>ROUND((108/100)*ROUND(Source!CS702*Source!I702, 2), 2)</f>
        <v>0</v>
      </c>
    </row>
    <row r="790" spans="1:22" x14ac:dyDescent="0.2">
      <c r="C790" s="22" t="str">
        <f>"Объем: "&amp;Source!I702&amp;"=3*"&amp;"5"</f>
        <v>Объем: 15=3*5</v>
      </c>
    </row>
    <row r="791" spans="1:22" ht="14.25" x14ac:dyDescent="0.2">
      <c r="A791" s="18"/>
      <c r="B791" s="18"/>
      <c r="C791" s="18" t="s">
        <v>461</v>
      </c>
      <c r="D791" s="19"/>
      <c r="E791" s="9"/>
      <c r="F791" s="21">
        <f>Source!AO702</f>
        <v>86.45</v>
      </c>
      <c r="G791" s="20" t="str">
        <f>Source!DG702</f>
        <v/>
      </c>
      <c r="H791" s="9">
        <f>Source!AV702</f>
        <v>1</v>
      </c>
      <c r="I791" s="9">
        <f>IF(Source!BA702&lt;&gt; 0, Source!BA702, 1)</f>
        <v>1</v>
      </c>
      <c r="J791" s="21">
        <f>Source!S702</f>
        <v>1296.75</v>
      </c>
      <c r="K791" s="21"/>
    </row>
    <row r="792" spans="1:22" ht="14.25" x14ac:dyDescent="0.2">
      <c r="A792" s="18"/>
      <c r="B792" s="18"/>
      <c r="C792" s="18" t="s">
        <v>462</v>
      </c>
      <c r="D792" s="19"/>
      <c r="E792" s="9"/>
      <c r="F792" s="21">
        <f>Source!AM702</f>
        <v>0.23</v>
      </c>
      <c r="G792" s="20" t="str">
        <f>Source!DE702</f>
        <v/>
      </c>
      <c r="H792" s="9">
        <f>Source!AV702</f>
        <v>1</v>
      </c>
      <c r="I792" s="9">
        <f>IF(Source!BB702&lt;&gt; 0, Source!BB702, 1)</f>
        <v>1</v>
      </c>
      <c r="J792" s="21">
        <f>Source!Q702</f>
        <v>3.45</v>
      </c>
      <c r="K792" s="21"/>
    </row>
    <row r="793" spans="1:22" ht="14.25" x14ac:dyDescent="0.2">
      <c r="A793" s="18"/>
      <c r="B793" s="18"/>
      <c r="C793" s="18" t="s">
        <v>464</v>
      </c>
      <c r="D793" s="19"/>
      <c r="E793" s="9"/>
      <c r="F793" s="21">
        <f>Source!AL702</f>
        <v>2.2000000000000002</v>
      </c>
      <c r="G793" s="20" t="str">
        <f>Source!DD702</f>
        <v/>
      </c>
      <c r="H793" s="9">
        <f>Source!AW702</f>
        <v>1</v>
      </c>
      <c r="I793" s="9">
        <f>IF(Source!BC702&lt;&gt; 0, Source!BC702, 1)</f>
        <v>1</v>
      </c>
      <c r="J793" s="21">
        <f>Source!P702</f>
        <v>33</v>
      </c>
      <c r="K793" s="21"/>
    </row>
    <row r="794" spans="1:22" ht="14.25" x14ac:dyDescent="0.2">
      <c r="A794" s="18"/>
      <c r="B794" s="18"/>
      <c r="C794" s="18" t="s">
        <v>465</v>
      </c>
      <c r="D794" s="19" t="s">
        <v>466</v>
      </c>
      <c r="E794" s="9">
        <f>Source!AT702</f>
        <v>70</v>
      </c>
      <c r="F794" s="21"/>
      <c r="G794" s="20"/>
      <c r="H794" s="9"/>
      <c r="I794" s="9"/>
      <c r="J794" s="21">
        <f>SUM(R789:R793)</f>
        <v>907.73</v>
      </c>
      <c r="K794" s="21"/>
    </row>
    <row r="795" spans="1:22" ht="14.25" x14ac:dyDescent="0.2">
      <c r="A795" s="18"/>
      <c r="B795" s="18"/>
      <c r="C795" s="18" t="s">
        <v>467</v>
      </c>
      <c r="D795" s="19" t="s">
        <v>466</v>
      </c>
      <c r="E795" s="9">
        <f>Source!AU702</f>
        <v>10</v>
      </c>
      <c r="F795" s="21"/>
      <c r="G795" s="20"/>
      <c r="H795" s="9"/>
      <c r="I795" s="9"/>
      <c r="J795" s="21">
        <f>SUM(T789:T794)</f>
        <v>129.68</v>
      </c>
      <c r="K795" s="21"/>
    </row>
    <row r="796" spans="1:22" ht="14.25" x14ac:dyDescent="0.2">
      <c r="A796" s="18"/>
      <c r="B796" s="18"/>
      <c r="C796" s="18" t="s">
        <v>469</v>
      </c>
      <c r="D796" s="19" t="s">
        <v>470</v>
      </c>
      <c r="E796" s="9">
        <f>Source!AQ702</f>
        <v>0.14000000000000001</v>
      </c>
      <c r="F796" s="21"/>
      <c r="G796" s="20" t="str">
        <f>Source!DI702</f>
        <v/>
      </c>
      <c r="H796" s="9">
        <f>Source!AV702</f>
        <v>1</v>
      </c>
      <c r="I796" s="9"/>
      <c r="J796" s="21"/>
      <c r="K796" s="21">
        <f>Source!U702</f>
        <v>2.1</v>
      </c>
    </row>
    <row r="797" spans="1:22" ht="15" x14ac:dyDescent="0.25">
      <c r="A797" s="26"/>
      <c r="B797" s="26"/>
      <c r="C797" s="26"/>
      <c r="D797" s="26"/>
      <c r="E797" s="26"/>
      <c r="F797" s="26"/>
      <c r="G797" s="26"/>
      <c r="H797" s="26"/>
      <c r="I797" s="53">
        <f>J791+J792+J793+J794+J795</f>
        <v>2370.61</v>
      </c>
      <c r="J797" s="53"/>
      <c r="K797" s="27">
        <f>IF(Source!I702&lt;&gt;0, ROUND(I797/Source!I702, 2), 0)</f>
        <v>158.04</v>
      </c>
      <c r="P797" s="24">
        <f>I797</f>
        <v>2370.61</v>
      </c>
    </row>
    <row r="798" spans="1:22" ht="165" x14ac:dyDescent="0.2">
      <c r="A798" s="18">
        <v>80</v>
      </c>
      <c r="B798" s="18" t="s">
        <v>473</v>
      </c>
      <c r="C798" s="18" t="s">
        <v>474</v>
      </c>
      <c r="D798" s="19" t="str">
        <f>Source!H710</f>
        <v>шт.</v>
      </c>
      <c r="E798" s="9">
        <f>Source!I710</f>
        <v>10</v>
      </c>
      <c r="F798" s="21"/>
      <c r="G798" s="20"/>
      <c r="H798" s="9"/>
      <c r="I798" s="9"/>
      <c r="J798" s="21"/>
      <c r="K798" s="21"/>
      <c r="Q798">
        <f>ROUND((Source!BZ710/100)*ROUND((Source!AF710*Source!AV710)*Source!I710, 2), 2)</f>
        <v>1227.77</v>
      </c>
      <c r="R798">
        <f>Source!X710</f>
        <v>1227.77</v>
      </c>
      <c r="S798">
        <f>ROUND((Source!CA710/100)*ROUND((Source!AF710*Source!AV710)*Source!I710, 2), 2)</f>
        <v>175.4</v>
      </c>
      <c r="T798">
        <f>Source!Y710</f>
        <v>175.4</v>
      </c>
      <c r="U798">
        <f>ROUND((175/100)*ROUND((Source!AE710*Source!AV710)*Source!I710, 2), 2)</f>
        <v>0</v>
      </c>
      <c r="V798">
        <f>ROUND((108/100)*ROUND(Source!CS710*Source!I710, 2), 2)</f>
        <v>0</v>
      </c>
    </row>
    <row r="799" spans="1:22" x14ac:dyDescent="0.2">
      <c r="C799" s="22" t="str">
        <f>"Объем: "&amp;Source!I710&amp;"=(2)*"&amp;"5"</f>
        <v>Объем: 10=(2)*5</v>
      </c>
    </row>
    <row r="800" spans="1:22" ht="14.25" x14ac:dyDescent="0.2">
      <c r="A800" s="18"/>
      <c r="B800" s="18"/>
      <c r="C800" s="18" t="s">
        <v>461</v>
      </c>
      <c r="D800" s="19"/>
      <c r="E800" s="9"/>
      <c r="F800" s="21">
        <f>Source!AO710</f>
        <v>168.65</v>
      </c>
      <c r="G800" s="20" t="str">
        <f>Source!DG710</f>
        <v>)*1,04</v>
      </c>
      <c r="H800" s="9">
        <f>Source!AV710</f>
        <v>1</v>
      </c>
      <c r="I800" s="9">
        <f>IF(Source!BA710&lt;&gt; 0, Source!BA710, 1)</f>
        <v>1</v>
      </c>
      <c r="J800" s="21">
        <f>Source!S710</f>
        <v>1753.96</v>
      </c>
      <c r="K800" s="21"/>
    </row>
    <row r="801" spans="1:22" ht="14.25" x14ac:dyDescent="0.2">
      <c r="A801" s="18"/>
      <c r="B801" s="18"/>
      <c r="C801" s="18" t="s">
        <v>464</v>
      </c>
      <c r="D801" s="19"/>
      <c r="E801" s="9"/>
      <c r="F801" s="21">
        <f>Source!AL710</f>
        <v>0.63</v>
      </c>
      <c r="G801" s="20" t="str">
        <f>Source!DD710</f>
        <v/>
      </c>
      <c r="H801" s="9">
        <f>Source!AW710</f>
        <v>1</v>
      </c>
      <c r="I801" s="9">
        <f>IF(Source!BC710&lt;&gt; 0, Source!BC710, 1)</f>
        <v>1</v>
      </c>
      <c r="J801" s="21">
        <f>Source!P710</f>
        <v>6.3</v>
      </c>
      <c r="K801" s="21"/>
    </row>
    <row r="802" spans="1:22" ht="14.25" x14ac:dyDescent="0.2">
      <c r="A802" s="18"/>
      <c r="B802" s="18"/>
      <c r="C802" s="18" t="s">
        <v>465</v>
      </c>
      <c r="D802" s="19" t="s">
        <v>466</v>
      </c>
      <c r="E802" s="9">
        <f>Source!AT710</f>
        <v>70</v>
      </c>
      <c r="F802" s="21"/>
      <c r="G802" s="20"/>
      <c r="H802" s="9"/>
      <c r="I802" s="9"/>
      <c r="J802" s="21">
        <f>SUM(R798:R801)</f>
        <v>1227.77</v>
      </c>
      <c r="K802" s="21"/>
    </row>
    <row r="803" spans="1:22" ht="14.25" x14ac:dyDescent="0.2">
      <c r="A803" s="18"/>
      <c r="B803" s="18"/>
      <c r="C803" s="18" t="s">
        <v>467</v>
      </c>
      <c r="D803" s="19" t="s">
        <v>466</v>
      </c>
      <c r="E803" s="9">
        <f>Source!AU710</f>
        <v>10</v>
      </c>
      <c r="F803" s="21"/>
      <c r="G803" s="20"/>
      <c r="H803" s="9"/>
      <c r="I803" s="9"/>
      <c r="J803" s="21">
        <f>SUM(T798:T802)</f>
        <v>175.4</v>
      </c>
      <c r="K803" s="21"/>
    </row>
    <row r="804" spans="1:22" ht="14.25" x14ac:dyDescent="0.2">
      <c r="A804" s="18"/>
      <c r="B804" s="18"/>
      <c r="C804" s="18" t="s">
        <v>469</v>
      </c>
      <c r="D804" s="19" t="s">
        <v>470</v>
      </c>
      <c r="E804" s="9">
        <f>Source!AQ710</f>
        <v>0.3</v>
      </c>
      <c r="F804" s="21"/>
      <c r="G804" s="20" t="str">
        <f>Source!DI710</f>
        <v>)*1,04</v>
      </c>
      <c r="H804" s="9">
        <f>Source!AV710</f>
        <v>1</v>
      </c>
      <c r="I804" s="9"/>
      <c r="J804" s="21"/>
      <c r="K804" s="21">
        <f>Source!U710</f>
        <v>3.12</v>
      </c>
    </row>
    <row r="805" spans="1:22" ht="15" x14ac:dyDescent="0.25">
      <c r="A805" s="26"/>
      <c r="B805" s="26"/>
      <c r="C805" s="26"/>
      <c r="D805" s="26"/>
      <c r="E805" s="26"/>
      <c r="F805" s="26"/>
      <c r="G805" s="26"/>
      <c r="H805" s="26"/>
      <c r="I805" s="53">
        <f>J800+J801+J802+J803</f>
        <v>3163.43</v>
      </c>
      <c r="J805" s="53"/>
      <c r="K805" s="27">
        <f>IF(Source!I710&lt;&gt;0, ROUND(I805/Source!I710, 2), 0)</f>
        <v>316.33999999999997</v>
      </c>
      <c r="P805" s="24">
        <f>I805</f>
        <v>3163.43</v>
      </c>
    </row>
    <row r="806" spans="1:22" ht="108" x14ac:dyDescent="0.2">
      <c r="A806" s="18">
        <v>81</v>
      </c>
      <c r="B806" s="18" t="s">
        <v>475</v>
      </c>
      <c r="C806" s="18" t="s">
        <v>476</v>
      </c>
      <c r="D806" s="19" t="str">
        <f>Source!H711</f>
        <v>шт.</v>
      </c>
      <c r="E806" s="9">
        <f>Source!I711</f>
        <v>35</v>
      </c>
      <c r="F806" s="21"/>
      <c r="G806" s="20"/>
      <c r="H806" s="9"/>
      <c r="I806" s="9"/>
      <c r="J806" s="21"/>
      <c r="K806" s="21"/>
      <c r="Q806">
        <f>ROUND((Source!BZ711/100)*ROUND((Source!AF711*Source!AV711)*Source!I711, 2), 2)</f>
        <v>5729.69</v>
      </c>
      <c r="R806">
        <f>Source!X711</f>
        <v>5729.69</v>
      </c>
      <c r="S806">
        <f>ROUND((Source!CA711/100)*ROUND((Source!AF711*Source!AV711)*Source!I711, 2), 2)</f>
        <v>818.53</v>
      </c>
      <c r="T806">
        <f>Source!Y711</f>
        <v>818.53</v>
      </c>
      <c r="U806">
        <f>ROUND((175/100)*ROUND((Source!AE711*Source!AV711)*Source!I711, 2), 2)</f>
        <v>0</v>
      </c>
      <c r="V806">
        <f>ROUND((108/100)*ROUND(Source!CS711*Source!I711, 2), 2)</f>
        <v>0</v>
      </c>
    </row>
    <row r="807" spans="1:22" x14ac:dyDescent="0.2">
      <c r="C807" s="22" t="str">
        <f>"Объем: "&amp;Source!I711&amp;"=7*"&amp;"5"</f>
        <v>Объем: 35=7*5</v>
      </c>
    </row>
    <row r="808" spans="1:22" ht="14.25" x14ac:dyDescent="0.2">
      <c r="A808" s="18"/>
      <c r="B808" s="18"/>
      <c r="C808" s="18" t="s">
        <v>461</v>
      </c>
      <c r="D808" s="19"/>
      <c r="E808" s="9"/>
      <c r="F808" s="21">
        <f>Source!AO711</f>
        <v>224.87</v>
      </c>
      <c r="G808" s="20" t="str">
        <f>Source!DG711</f>
        <v>)*1,04</v>
      </c>
      <c r="H808" s="9">
        <f>Source!AV711</f>
        <v>1</v>
      </c>
      <c r="I808" s="9">
        <f>IF(Source!BA711&lt;&gt; 0, Source!BA711, 1)</f>
        <v>1</v>
      </c>
      <c r="J808" s="21">
        <f>Source!S711</f>
        <v>8185.27</v>
      </c>
      <c r="K808" s="21"/>
    </row>
    <row r="809" spans="1:22" ht="14.25" x14ac:dyDescent="0.2">
      <c r="A809" s="18"/>
      <c r="B809" s="18"/>
      <c r="C809" s="18" t="s">
        <v>464</v>
      </c>
      <c r="D809" s="19"/>
      <c r="E809" s="9"/>
      <c r="F809" s="21">
        <f>Source!AL711</f>
        <v>1.26</v>
      </c>
      <c r="G809" s="20" t="str">
        <f>Source!DD711</f>
        <v/>
      </c>
      <c r="H809" s="9">
        <f>Source!AW711</f>
        <v>1</v>
      </c>
      <c r="I809" s="9">
        <f>IF(Source!BC711&lt;&gt; 0, Source!BC711, 1)</f>
        <v>1</v>
      </c>
      <c r="J809" s="21">
        <f>Source!P711</f>
        <v>44.1</v>
      </c>
      <c r="K809" s="21"/>
    </row>
    <row r="810" spans="1:22" ht="14.25" x14ac:dyDescent="0.2">
      <c r="A810" s="18"/>
      <c r="B810" s="18"/>
      <c r="C810" s="18" t="s">
        <v>465</v>
      </c>
      <c r="D810" s="19" t="s">
        <v>466</v>
      </c>
      <c r="E810" s="9">
        <f>Source!AT711</f>
        <v>70</v>
      </c>
      <c r="F810" s="21"/>
      <c r="G810" s="20"/>
      <c r="H810" s="9"/>
      <c r="I810" s="9"/>
      <c r="J810" s="21">
        <f>SUM(R806:R809)</f>
        <v>5729.69</v>
      </c>
      <c r="K810" s="21"/>
    </row>
    <row r="811" spans="1:22" ht="14.25" x14ac:dyDescent="0.2">
      <c r="A811" s="18"/>
      <c r="B811" s="18"/>
      <c r="C811" s="18" t="s">
        <v>467</v>
      </c>
      <c r="D811" s="19" t="s">
        <v>466</v>
      </c>
      <c r="E811" s="9">
        <f>Source!AU711</f>
        <v>10</v>
      </c>
      <c r="F811" s="21"/>
      <c r="G811" s="20"/>
      <c r="H811" s="9"/>
      <c r="I811" s="9"/>
      <c r="J811" s="21">
        <f>SUM(T806:T810)</f>
        <v>818.53</v>
      </c>
      <c r="K811" s="21"/>
    </row>
    <row r="812" spans="1:22" ht="14.25" x14ac:dyDescent="0.2">
      <c r="A812" s="18"/>
      <c r="B812" s="18"/>
      <c r="C812" s="18" t="s">
        <v>469</v>
      </c>
      <c r="D812" s="19" t="s">
        <v>470</v>
      </c>
      <c r="E812" s="9">
        <f>Source!AQ711</f>
        <v>0.4</v>
      </c>
      <c r="F812" s="21"/>
      <c r="G812" s="20" t="str">
        <f>Source!DI711</f>
        <v>)*1,04</v>
      </c>
      <c r="H812" s="9">
        <f>Source!AV711</f>
        <v>1</v>
      </c>
      <c r="I812" s="9"/>
      <c r="J812" s="21"/>
      <c r="K812" s="21">
        <f>Source!U711</f>
        <v>14.56</v>
      </c>
    </row>
    <row r="813" spans="1:22" ht="15" x14ac:dyDescent="0.25">
      <c r="A813" s="26"/>
      <c r="B813" s="26"/>
      <c r="C813" s="26"/>
      <c r="D813" s="26"/>
      <c r="E813" s="26"/>
      <c r="F813" s="26"/>
      <c r="G813" s="26"/>
      <c r="H813" s="26"/>
      <c r="I813" s="53">
        <f>J808+J809+J810+J811</f>
        <v>14777.590000000002</v>
      </c>
      <c r="J813" s="53"/>
      <c r="K813" s="27">
        <f>IF(Source!I711&lt;&gt;0, ROUND(I813/Source!I711, 2), 0)</f>
        <v>422.22</v>
      </c>
      <c r="P813" s="24">
        <f>I813</f>
        <v>14777.590000000002</v>
      </c>
    </row>
    <row r="814" spans="1:22" ht="28.5" x14ac:dyDescent="0.2">
      <c r="A814" s="18">
        <v>82</v>
      </c>
      <c r="B814" s="18" t="str">
        <f>Source!F713</f>
        <v>1.18-2303-3-1/1</v>
      </c>
      <c r="C814" s="18" t="str">
        <f>Source!G713</f>
        <v>Техническое обслуживание канального вентилятора - ежемесячное</v>
      </c>
      <c r="D814" s="19" t="str">
        <f>Source!H713</f>
        <v>шт.</v>
      </c>
      <c r="E814" s="9">
        <f>Source!I713</f>
        <v>5</v>
      </c>
      <c r="F814" s="21"/>
      <c r="G814" s="20"/>
      <c r="H814" s="9"/>
      <c r="I814" s="9"/>
      <c r="J814" s="21"/>
      <c r="K814" s="21"/>
      <c r="Q814">
        <f>ROUND((Source!BZ713/100)*ROUND((Source!AF713*Source!AV713)*Source!I713, 2), 2)</f>
        <v>4257.68</v>
      </c>
      <c r="R814">
        <f>Source!X713</f>
        <v>4257.68</v>
      </c>
      <c r="S814">
        <f>ROUND((Source!CA713/100)*ROUND((Source!AF713*Source!AV713)*Source!I713, 2), 2)</f>
        <v>608.24</v>
      </c>
      <c r="T814">
        <f>Source!Y713</f>
        <v>608.24</v>
      </c>
      <c r="U814">
        <f>ROUND((175/100)*ROUND((Source!AE713*Source!AV713)*Source!I713, 2), 2)</f>
        <v>0</v>
      </c>
      <c r="V814">
        <f>ROUND((108/100)*ROUND(Source!CS713*Source!I713, 2), 2)</f>
        <v>0</v>
      </c>
    </row>
    <row r="815" spans="1:22" x14ac:dyDescent="0.2">
      <c r="C815" s="22" t="str">
        <f>"Объем: "&amp;Source!I713&amp;"=1*"&amp;"5"</f>
        <v>Объем: 5=1*5</v>
      </c>
    </row>
    <row r="816" spans="1:22" ht="14.25" x14ac:dyDescent="0.2">
      <c r="A816" s="18"/>
      <c r="B816" s="18"/>
      <c r="C816" s="18" t="s">
        <v>461</v>
      </c>
      <c r="D816" s="19"/>
      <c r="E816" s="9"/>
      <c r="F816" s="21">
        <f>Source!AO713</f>
        <v>304.12</v>
      </c>
      <c r="G816" s="20" t="str">
        <f>Source!DG713</f>
        <v>)*4</v>
      </c>
      <c r="H816" s="9">
        <f>Source!AV713</f>
        <v>1</v>
      </c>
      <c r="I816" s="9">
        <f>IF(Source!BA713&lt;&gt; 0, Source!BA713, 1)</f>
        <v>1</v>
      </c>
      <c r="J816" s="21">
        <f>Source!S713</f>
        <v>6082.4</v>
      </c>
      <c r="K816" s="21"/>
    </row>
    <row r="817" spans="1:22" ht="14.25" x14ac:dyDescent="0.2">
      <c r="A817" s="18"/>
      <c r="B817" s="18"/>
      <c r="C817" s="18" t="s">
        <v>465</v>
      </c>
      <c r="D817" s="19" t="s">
        <v>466</v>
      </c>
      <c r="E817" s="9">
        <f>Source!AT713</f>
        <v>70</v>
      </c>
      <c r="F817" s="21"/>
      <c r="G817" s="20"/>
      <c r="H817" s="9"/>
      <c r="I817" s="9"/>
      <c r="J817" s="21">
        <f>SUM(R814:R816)</f>
        <v>4257.68</v>
      </c>
      <c r="K817" s="21"/>
    </row>
    <row r="818" spans="1:22" ht="14.25" x14ac:dyDescent="0.2">
      <c r="A818" s="18"/>
      <c r="B818" s="18"/>
      <c r="C818" s="18" t="s">
        <v>467</v>
      </c>
      <c r="D818" s="19" t="s">
        <v>466</v>
      </c>
      <c r="E818" s="9">
        <f>Source!AU713</f>
        <v>10</v>
      </c>
      <c r="F818" s="21"/>
      <c r="G818" s="20"/>
      <c r="H818" s="9"/>
      <c r="I818" s="9"/>
      <c r="J818" s="21">
        <f>SUM(T814:T817)</f>
        <v>608.24</v>
      </c>
      <c r="K818" s="21"/>
    </row>
    <row r="819" spans="1:22" ht="14.25" x14ac:dyDescent="0.2">
      <c r="A819" s="18"/>
      <c r="B819" s="18"/>
      <c r="C819" s="18" t="s">
        <v>469</v>
      </c>
      <c r="D819" s="19" t="s">
        <v>470</v>
      </c>
      <c r="E819" s="9">
        <f>Source!AQ713</f>
        <v>0.5</v>
      </c>
      <c r="F819" s="21"/>
      <c r="G819" s="20" t="str">
        <f>Source!DI713</f>
        <v>)*4</v>
      </c>
      <c r="H819" s="9">
        <f>Source!AV713</f>
        <v>1</v>
      </c>
      <c r="I819" s="9"/>
      <c r="J819" s="21"/>
      <c r="K819" s="21">
        <f>Source!U713</f>
        <v>10</v>
      </c>
    </row>
    <row r="820" spans="1:22" ht="15" x14ac:dyDescent="0.25">
      <c r="A820" s="26"/>
      <c r="B820" s="26"/>
      <c r="C820" s="26"/>
      <c r="D820" s="26"/>
      <c r="E820" s="26"/>
      <c r="F820" s="26"/>
      <c r="G820" s="26"/>
      <c r="H820" s="26"/>
      <c r="I820" s="53">
        <f>J816+J817+J818</f>
        <v>10948.32</v>
      </c>
      <c r="J820" s="53"/>
      <c r="K820" s="27">
        <f>IF(Source!I713&lt;&gt;0, ROUND(I820/Source!I713, 2), 0)</f>
        <v>2189.66</v>
      </c>
      <c r="P820" s="24">
        <f>I820</f>
        <v>10948.32</v>
      </c>
    </row>
    <row r="821" spans="1:22" ht="28.5" x14ac:dyDescent="0.2">
      <c r="A821" s="18">
        <v>83</v>
      </c>
      <c r="B821" s="18" t="str">
        <f>Source!F716</f>
        <v>1.23-2103-6-1/1</v>
      </c>
      <c r="C821" s="18" t="str">
        <f>Source!G716</f>
        <v>Техническое обслуживание выключателей поплавковых</v>
      </c>
      <c r="D821" s="19" t="str">
        <f>Source!H716</f>
        <v>100 шт.</v>
      </c>
      <c r="E821" s="9">
        <f>Source!I716</f>
        <v>0.2</v>
      </c>
      <c r="F821" s="21"/>
      <c r="G821" s="20"/>
      <c r="H821" s="9"/>
      <c r="I821" s="9"/>
      <c r="J821" s="21"/>
      <c r="K821" s="21"/>
      <c r="Q821">
        <f>ROUND((Source!BZ716/100)*ROUND((Source!AF716*Source!AV716)*Source!I716, 2), 2)</f>
        <v>1798.66</v>
      </c>
      <c r="R821">
        <f>Source!X716</f>
        <v>1798.66</v>
      </c>
      <c r="S821">
        <f>ROUND((Source!CA716/100)*ROUND((Source!AF716*Source!AV716)*Source!I716, 2), 2)</f>
        <v>256.95</v>
      </c>
      <c r="T821">
        <f>Source!Y716</f>
        <v>256.95</v>
      </c>
      <c r="U821">
        <f>ROUND((175/100)*ROUND((Source!AE716*Source!AV716)*Source!I716, 2), 2)</f>
        <v>809.67</v>
      </c>
      <c r="V821">
        <f>ROUND((108/100)*ROUND(Source!CS716*Source!I716, 2), 2)</f>
        <v>499.68</v>
      </c>
    </row>
    <row r="822" spans="1:22" x14ac:dyDescent="0.2">
      <c r="C822" s="22" t="str">
        <f>"Объем: "&amp;Source!I716&amp;"=(4*"&amp;"5)/"&amp;"100"</f>
        <v>Объем: 0,2=(4*5)/100</v>
      </c>
    </row>
    <row r="823" spans="1:22" ht="14.25" x14ac:dyDescent="0.2">
      <c r="A823" s="18"/>
      <c r="B823" s="18"/>
      <c r="C823" s="18" t="s">
        <v>461</v>
      </c>
      <c r="D823" s="19"/>
      <c r="E823" s="9"/>
      <c r="F823" s="21">
        <f>Source!AO716</f>
        <v>3211.89</v>
      </c>
      <c r="G823" s="20" t="str">
        <f>Source!DG716</f>
        <v>)*4</v>
      </c>
      <c r="H823" s="9">
        <f>Source!AV716</f>
        <v>1</v>
      </c>
      <c r="I823" s="9">
        <f>IF(Source!BA716&lt;&gt; 0, Source!BA716, 1)</f>
        <v>1</v>
      </c>
      <c r="J823" s="21">
        <f>Source!S716</f>
        <v>2569.5100000000002</v>
      </c>
      <c r="K823" s="21"/>
    </row>
    <row r="824" spans="1:22" ht="14.25" x14ac:dyDescent="0.2">
      <c r="A824" s="18"/>
      <c r="B824" s="18"/>
      <c r="C824" s="18" t="s">
        <v>462</v>
      </c>
      <c r="D824" s="19"/>
      <c r="E824" s="9"/>
      <c r="F824" s="21">
        <f>Source!AM716</f>
        <v>912.11</v>
      </c>
      <c r="G824" s="20" t="str">
        <f>Source!DE716</f>
        <v>)*4</v>
      </c>
      <c r="H824" s="9">
        <f>Source!AV716</f>
        <v>1</v>
      </c>
      <c r="I824" s="9">
        <f>IF(Source!BB716&lt;&gt; 0, Source!BB716, 1)</f>
        <v>1</v>
      </c>
      <c r="J824" s="21">
        <f>Source!Q716</f>
        <v>729.69</v>
      </c>
      <c r="K824" s="21"/>
    </row>
    <row r="825" spans="1:22" ht="14.25" x14ac:dyDescent="0.2">
      <c r="A825" s="18"/>
      <c r="B825" s="18"/>
      <c r="C825" s="18" t="s">
        <v>463</v>
      </c>
      <c r="D825" s="19"/>
      <c r="E825" s="9"/>
      <c r="F825" s="21">
        <f>Source!AN716</f>
        <v>578.34</v>
      </c>
      <c r="G825" s="20" t="str">
        <f>Source!DF716</f>
        <v>)*4</v>
      </c>
      <c r="H825" s="9">
        <f>Source!AV716</f>
        <v>1</v>
      </c>
      <c r="I825" s="9">
        <f>IF(Source!BS716&lt;&gt; 0, Source!BS716, 1)</f>
        <v>1</v>
      </c>
      <c r="J825" s="23">
        <f>Source!R716</f>
        <v>462.67</v>
      </c>
      <c r="K825" s="21"/>
    </row>
    <row r="826" spans="1:22" ht="14.25" x14ac:dyDescent="0.2">
      <c r="A826" s="18"/>
      <c r="B826" s="18"/>
      <c r="C826" s="18" t="s">
        <v>464</v>
      </c>
      <c r="D826" s="19"/>
      <c r="E826" s="9"/>
      <c r="F826" s="21">
        <f>Source!AL716</f>
        <v>0.94</v>
      </c>
      <c r="G826" s="20" t="str">
        <f>Source!DD716</f>
        <v>)*4</v>
      </c>
      <c r="H826" s="9">
        <f>Source!AW716</f>
        <v>1</v>
      </c>
      <c r="I826" s="9">
        <f>IF(Source!BC716&lt;&gt; 0, Source!BC716, 1)</f>
        <v>1</v>
      </c>
      <c r="J826" s="21">
        <f>Source!P716</f>
        <v>0.75</v>
      </c>
      <c r="K826" s="21"/>
    </row>
    <row r="827" spans="1:22" ht="14.25" x14ac:dyDescent="0.2">
      <c r="A827" s="18"/>
      <c r="B827" s="18"/>
      <c r="C827" s="18" t="s">
        <v>465</v>
      </c>
      <c r="D827" s="19" t="s">
        <v>466</v>
      </c>
      <c r="E827" s="9">
        <f>Source!AT716</f>
        <v>70</v>
      </c>
      <c r="F827" s="21"/>
      <c r="G827" s="20"/>
      <c r="H827" s="9"/>
      <c r="I827" s="9"/>
      <c r="J827" s="21">
        <f>SUM(R821:R826)</f>
        <v>1798.66</v>
      </c>
      <c r="K827" s="21"/>
    </row>
    <row r="828" spans="1:22" ht="14.25" x14ac:dyDescent="0.2">
      <c r="A828" s="18"/>
      <c r="B828" s="18"/>
      <c r="C828" s="18" t="s">
        <v>467</v>
      </c>
      <c r="D828" s="19" t="s">
        <v>466</v>
      </c>
      <c r="E828" s="9">
        <f>Source!AU716</f>
        <v>10</v>
      </c>
      <c r="F828" s="21"/>
      <c r="G828" s="20"/>
      <c r="H828" s="9"/>
      <c r="I828" s="9"/>
      <c r="J828" s="21">
        <f>SUM(T821:T827)</f>
        <v>256.95</v>
      </c>
      <c r="K828" s="21"/>
    </row>
    <row r="829" spans="1:22" ht="14.25" x14ac:dyDescent="0.2">
      <c r="A829" s="18"/>
      <c r="B829" s="18"/>
      <c r="C829" s="18" t="s">
        <v>468</v>
      </c>
      <c r="D829" s="19" t="s">
        <v>466</v>
      </c>
      <c r="E829" s="9">
        <f>108</f>
        <v>108</v>
      </c>
      <c r="F829" s="21"/>
      <c r="G829" s="20"/>
      <c r="H829" s="9"/>
      <c r="I829" s="9"/>
      <c r="J829" s="21">
        <f>SUM(V821:V828)</f>
        <v>499.68</v>
      </c>
      <c r="K829" s="21"/>
    </row>
    <row r="830" spans="1:22" ht="14.25" x14ac:dyDescent="0.2">
      <c r="A830" s="18"/>
      <c r="B830" s="18"/>
      <c r="C830" s="18" t="s">
        <v>469</v>
      </c>
      <c r="D830" s="19" t="s">
        <v>470</v>
      </c>
      <c r="E830" s="9">
        <f>Source!AQ716</f>
        <v>6</v>
      </c>
      <c r="F830" s="21"/>
      <c r="G830" s="20" t="str">
        <f>Source!DI716</f>
        <v>)*4</v>
      </c>
      <c r="H830" s="9">
        <f>Source!AV716</f>
        <v>1</v>
      </c>
      <c r="I830" s="9"/>
      <c r="J830" s="21"/>
      <c r="K830" s="21">
        <f>Source!U716</f>
        <v>4.8000000000000007</v>
      </c>
    </row>
    <row r="831" spans="1:22" ht="15" x14ac:dyDescent="0.25">
      <c r="A831" s="26"/>
      <c r="B831" s="26"/>
      <c r="C831" s="26"/>
      <c r="D831" s="26"/>
      <c r="E831" s="26"/>
      <c r="F831" s="26"/>
      <c r="G831" s="26"/>
      <c r="H831" s="26"/>
      <c r="I831" s="53">
        <f>J823+J824+J826+J827+J828+J829</f>
        <v>5855.2400000000007</v>
      </c>
      <c r="J831" s="53"/>
      <c r="K831" s="27">
        <f>IF(Source!I716&lt;&gt;0, ROUND(I831/Source!I716, 2), 0)</f>
        <v>29276.2</v>
      </c>
      <c r="P831" s="24">
        <f>I831</f>
        <v>5855.2400000000007</v>
      </c>
    </row>
    <row r="832" spans="1:22" ht="71.25" x14ac:dyDescent="0.2">
      <c r="A832" s="18">
        <v>84</v>
      </c>
      <c r="B832" s="18" t="str">
        <f>Source!F718</f>
        <v>1.21-2303-37-1/1</v>
      </c>
      <c r="C832" s="18" t="str">
        <f>Source!G718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832" s="19" t="str">
        <f>Source!H718</f>
        <v>10 шт.</v>
      </c>
      <c r="E832" s="9">
        <f>Source!I718</f>
        <v>7</v>
      </c>
      <c r="F832" s="21"/>
      <c r="G832" s="20"/>
      <c r="H832" s="9"/>
      <c r="I832" s="9"/>
      <c r="J832" s="21"/>
      <c r="K832" s="21"/>
      <c r="Q832">
        <f>ROUND((Source!BZ718/100)*ROUND((Source!AF718*Source!AV718)*Source!I718, 2), 2)</f>
        <v>544.64</v>
      </c>
      <c r="R832">
        <f>Source!X718</f>
        <v>544.64</v>
      </c>
      <c r="S832">
        <f>ROUND((Source!CA718/100)*ROUND((Source!AF718*Source!AV718)*Source!I718, 2), 2)</f>
        <v>77.81</v>
      </c>
      <c r="T832">
        <f>Source!Y718</f>
        <v>77.81</v>
      </c>
      <c r="U832">
        <f>ROUND((175/100)*ROUND((Source!AE718*Source!AV718)*Source!I718, 2), 2)</f>
        <v>0</v>
      </c>
      <c r="V832">
        <f>ROUND((108/100)*ROUND(Source!CS718*Source!I718, 2), 2)</f>
        <v>0</v>
      </c>
    </row>
    <row r="833" spans="1:22" x14ac:dyDescent="0.2">
      <c r="C833" s="22" t="str">
        <f>"Объем: "&amp;Source!I718&amp;"=(14*"&amp;"5)/"&amp;"10"</f>
        <v>Объем: 7=(14*5)/10</v>
      </c>
    </row>
    <row r="834" spans="1:22" ht="14.25" x14ac:dyDescent="0.2">
      <c r="A834" s="18"/>
      <c r="B834" s="18"/>
      <c r="C834" s="18" t="s">
        <v>461</v>
      </c>
      <c r="D834" s="19"/>
      <c r="E834" s="9"/>
      <c r="F834" s="21">
        <f>Source!AO718</f>
        <v>111.15</v>
      </c>
      <c r="G834" s="20" t="str">
        <f>Source!DG718</f>
        <v/>
      </c>
      <c r="H834" s="9">
        <f>Source!AV718</f>
        <v>1</v>
      </c>
      <c r="I834" s="9">
        <f>IF(Source!BA718&lt;&gt; 0, Source!BA718, 1)</f>
        <v>1</v>
      </c>
      <c r="J834" s="21">
        <f>Source!S718</f>
        <v>778.05</v>
      </c>
      <c r="K834" s="21"/>
    </row>
    <row r="835" spans="1:22" ht="14.25" x14ac:dyDescent="0.2">
      <c r="A835" s="18"/>
      <c r="B835" s="18"/>
      <c r="C835" s="18" t="s">
        <v>464</v>
      </c>
      <c r="D835" s="19"/>
      <c r="E835" s="9"/>
      <c r="F835" s="21">
        <f>Source!AL718</f>
        <v>6.3</v>
      </c>
      <c r="G835" s="20" t="str">
        <f>Source!DD718</f>
        <v/>
      </c>
      <c r="H835" s="9">
        <f>Source!AW718</f>
        <v>1</v>
      </c>
      <c r="I835" s="9">
        <f>IF(Source!BC718&lt;&gt; 0, Source!BC718, 1)</f>
        <v>1</v>
      </c>
      <c r="J835" s="21">
        <f>Source!P718</f>
        <v>44.1</v>
      </c>
      <c r="K835" s="21"/>
    </row>
    <row r="836" spans="1:22" ht="14.25" x14ac:dyDescent="0.2">
      <c r="A836" s="18"/>
      <c r="B836" s="18"/>
      <c r="C836" s="18" t="s">
        <v>465</v>
      </c>
      <c r="D836" s="19" t="s">
        <v>466</v>
      </c>
      <c r="E836" s="9">
        <f>Source!AT718</f>
        <v>70</v>
      </c>
      <c r="F836" s="21"/>
      <c r="G836" s="20"/>
      <c r="H836" s="9"/>
      <c r="I836" s="9"/>
      <c r="J836" s="21">
        <f>SUM(R832:R835)</f>
        <v>544.64</v>
      </c>
      <c r="K836" s="21"/>
    </row>
    <row r="837" spans="1:22" ht="14.25" x14ac:dyDescent="0.2">
      <c r="A837" s="18"/>
      <c r="B837" s="18"/>
      <c r="C837" s="18" t="s">
        <v>467</v>
      </c>
      <c r="D837" s="19" t="s">
        <v>466</v>
      </c>
      <c r="E837" s="9">
        <f>Source!AU718</f>
        <v>10</v>
      </c>
      <c r="F837" s="21"/>
      <c r="G837" s="20"/>
      <c r="H837" s="9"/>
      <c r="I837" s="9"/>
      <c r="J837" s="21">
        <f>SUM(T832:T836)</f>
        <v>77.81</v>
      </c>
      <c r="K837" s="21"/>
    </row>
    <row r="838" spans="1:22" ht="14.25" x14ac:dyDescent="0.2">
      <c r="A838" s="18"/>
      <c r="B838" s="18"/>
      <c r="C838" s="18" t="s">
        <v>469</v>
      </c>
      <c r="D838" s="19" t="s">
        <v>470</v>
      </c>
      <c r="E838" s="9">
        <f>Source!AQ718</f>
        <v>0.18</v>
      </c>
      <c r="F838" s="21"/>
      <c r="G838" s="20" t="str">
        <f>Source!DI718</f>
        <v/>
      </c>
      <c r="H838" s="9">
        <f>Source!AV718</f>
        <v>1</v>
      </c>
      <c r="I838" s="9"/>
      <c r="J838" s="21"/>
      <c r="K838" s="21">
        <f>Source!U718</f>
        <v>1.26</v>
      </c>
    </row>
    <row r="839" spans="1:22" ht="15" x14ac:dyDescent="0.25">
      <c r="A839" s="26"/>
      <c r="B839" s="26"/>
      <c r="C839" s="26"/>
      <c r="D839" s="26"/>
      <c r="E839" s="26"/>
      <c r="F839" s="26"/>
      <c r="G839" s="26"/>
      <c r="H839" s="26"/>
      <c r="I839" s="53">
        <f>J834+J835+J836+J837</f>
        <v>1444.6</v>
      </c>
      <c r="J839" s="53"/>
      <c r="K839" s="27">
        <f>IF(Source!I718&lt;&gt;0, ROUND(I839/Source!I718, 2), 0)</f>
        <v>206.37</v>
      </c>
      <c r="P839" s="24">
        <f>I839</f>
        <v>1444.6</v>
      </c>
    </row>
    <row r="840" spans="1:22" ht="57" x14ac:dyDescent="0.2">
      <c r="A840" s="18">
        <v>85</v>
      </c>
      <c r="B840" s="18" t="str">
        <f>Source!F720</f>
        <v>1.21-2103-9-2/1</v>
      </c>
      <c r="C840" s="18" t="str">
        <f>Source!G720</f>
        <v>Техническое обслуживание силовых сетей, проложенных по кирпичным и бетонным основаниям, провод сечением 3х1,5-6 мм2 / прим. 3х2,5</v>
      </c>
      <c r="D840" s="19" t="str">
        <f>Source!H720</f>
        <v>100 м</v>
      </c>
      <c r="E840" s="9">
        <f>Source!I720</f>
        <v>0.04</v>
      </c>
      <c r="F840" s="21"/>
      <c r="G840" s="20"/>
      <c r="H840" s="9"/>
      <c r="I840" s="9"/>
      <c r="J840" s="21"/>
      <c r="K840" s="21"/>
      <c r="Q840">
        <f>ROUND((Source!BZ720/100)*ROUND((Source!AF720*Source!AV720)*Source!I720, 2), 2)</f>
        <v>149.88999999999999</v>
      </c>
      <c r="R840">
        <f>Source!X720</f>
        <v>149.88999999999999</v>
      </c>
      <c r="S840">
        <f>ROUND((Source!CA720/100)*ROUND((Source!AF720*Source!AV720)*Source!I720, 2), 2)</f>
        <v>21.41</v>
      </c>
      <c r="T840">
        <f>Source!Y720</f>
        <v>21.41</v>
      </c>
      <c r="U840">
        <f>ROUND((175/100)*ROUND((Source!AE720*Source!AV720)*Source!I720, 2), 2)</f>
        <v>0</v>
      </c>
      <c r="V840">
        <f>ROUND((108/100)*ROUND(Source!CS720*Source!I720, 2), 2)</f>
        <v>0</v>
      </c>
    </row>
    <row r="841" spans="1:22" x14ac:dyDescent="0.2">
      <c r="C841" s="22" t="str">
        <f>"Объем: "&amp;Source!I720&amp;"=(40*"&amp;"5)*"&amp;"0,2*"&amp;"0,1/"&amp;"100"</f>
        <v>Объем: 0,04=(40*5)*0,2*0,1/100</v>
      </c>
    </row>
    <row r="842" spans="1:22" ht="14.25" x14ac:dyDescent="0.2">
      <c r="A842" s="18"/>
      <c r="B842" s="18"/>
      <c r="C842" s="18" t="s">
        <v>461</v>
      </c>
      <c r="D842" s="19"/>
      <c r="E842" s="9"/>
      <c r="F842" s="21">
        <f>Source!AO720</f>
        <v>5353.15</v>
      </c>
      <c r="G842" s="20" t="str">
        <f>Source!DG720</f>
        <v/>
      </c>
      <c r="H842" s="9">
        <f>Source!AV720</f>
        <v>1</v>
      </c>
      <c r="I842" s="9">
        <f>IF(Source!BA720&lt;&gt; 0, Source!BA720, 1)</f>
        <v>1</v>
      </c>
      <c r="J842" s="21">
        <f>Source!S720</f>
        <v>214.13</v>
      </c>
      <c r="K842" s="21"/>
    </row>
    <row r="843" spans="1:22" ht="14.25" x14ac:dyDescent="0.2">
      <c r="A843" s="18"/>
      <c r="B843" s="18"/>
      <c r="C843" s="18" t="s">
        <v>464</v>
      </c>
      <c r="D843" s="19"/>
      <c r="E843" s="9"/>
      <c r="F843" s="21">
        <f>Source!AL720</f>
        <v>22.51</v>
      </c>
      <c r="G843" s="20" t="str">
        <f>Source!DD720</f>
        <v/>
      </c>
      <c r="H843" s="9">
        <f>Source!AW720</f>
        <v>1</v>
      </c>
      <c r="I843" s="9">
        <f>IF(Source!BC720&lt;&gt; 0, Source!BC720, 1)</f>
        <v>1</v>
      </c>
      <c r="J843" s="21">
        <f>Source!P720</f>
        <v>0.9</v>
      </c>
      <c r="K843" s="21"/>
    </row>
    <row r="844" spans="1:22" ht="14.25" x14ac:dyDescent="0.2">
      <c r="A844" s="18"/>
      <c r="B844" s="18"/>
      <c r="C844" s="18" t="s">
        <v>465</v>
      </c>
      <c r="D844" s="19" t="s">
        <v>466</v>
      </c>
      <c r="E844" s="9">
        <f>Source!AT720</f>
        <v>70</v>
      </c>
      <c r="F844" s="21"/>
      <c r="G844" s="20"/>
      <c r="H844" s="9"/>
      <c r="I844" s="9"/>
      <c r="J844" s="21">
        <f>SUM(R840:R843)</f>
        <v>149.88999999999999</v>
      </c>
      <c r="K844" s="21"/>
    </row>
    <row r="845" spans="1:22" ht="14.25" x14ac:dyDescent="0.2">
      <c r="A845" s="18"/>
      <c r="B845" s="18"/>
      <c r="C845" s="18" t="s">
        <v>467</v>
      </c>
      <c r="D845" s="19" t="s">
        <v>466</v>
      </c>
      <c r="E845" s="9">
        <f>Source!AU720</f>
        <v>10</v>
      </c>
      <c r="F845" s="21"/>
      <c r="G845" s="20"/>
      <c r="H845" s="9"/>
      <c r="I845" s="9"/>
      <c r="J845" s="21">
        <f>SUM(T840:T844)</f>
        <v>21.41</v>
      </c>
      <c r="K845" s="21"/>
    </row>
    <row r="846" spans="1:22" ht="14.25" x14ac:dyDescent="0.2">
      <c r="A846" s="18"/>
      <c r="B846" s="18"/>
      <c r="C846" s="18" t="s">
        <v>469</v>
      </c>
      <c r="D846" s="19" t="s">
        <v>470</v>
      </c>
      <c r="E846" s="9">
        <f>Source!AQ720</f>
        <v>10</v>
      </c>
      <c r="F846" s="21"/>
      <c r="G846" s="20" t="str">
        <f>Source!DI720</f>
        <v/>
      </c>
      <c r="H846" s="9">
        <f>Source!AV720</f>
        <v>1</v>
      </c>
      <c r="I846" s="9"/>
      <c r="J846" s="21"/>
      <c r="K846" s="21">
        <f>Source!U720</f>
        <v>0.4</v>
      </c>
    </row>
    <row r="847" spans="1:22" ht="15" x14ac:dyDescent="0.25">
      <c r="A847" s="26"/>
      <c r="B847" s="26"/>
      <c r="C847" s="26"/>
      <c r="D847" s="26"/>
      <c r="E847" s="26"/>
      <c r="F847" s="26"/>
      <c r="G847" s="26"/>
      <c r="H847" s="26"/>
      <c r="I847" s="53">
        <f>J842+J843+J844+J845</f>
        <v>386.33</v>
      </c>
      <c r="J847" s="53"/>
      <c r="K847" s="27">
        <f>IF(Source!I720&lt;&gt;0, ROUND(I847/Source!I720, 2), 0)</f>
        <v>9658.25</v>
      </c>
      <c r="P847" s="24">
        <f>I847</f>
        <v>386.33</v>
      </c>
    </row>
    <row r="848" spans="1:22" ht="57" x14ac:dyDescent="0.2">
      <c r="A848" s="18">
        <v>86</v>
      </c>
      <c r="B848" s="18" t="str">
        <f>Source!F722</f>
        <v>1.21-2103-9-2/1</v>
      </c>
      <c r="C848" s="18" t="str">
        <f>Source!G722</f>
        <v>Техническое обслуживание силовых сетей, проложенных по кирпичным и бетонным основаниям, провод сечением 3х1,5-6 мм2</v>
      </c>
      <c r="D848" s="19" t="str">
        <f>Source!H722</f>
        <v>100 м</v>
      </c>
      <c r="E848" s="9">
        <f>Source!I722</f>
        <v>0.05</v>
      </c>
      <c r="F848" s="21"/>
      <c r="G848" s="20"/>
      <c r="H848" s="9"/>
      <c r="I848" s="9"/>
      <c r="J848" s="21"/>
      <c r="K848" s="21"/>
      <c r="Q848">
        <f>ROUND((Source!BZ722/100)*ROUND((Source!AF722*Source!AV722)*Source!I722, 2), 2)</f>
        <v>187.36</v>
      </c>
      <c r="R848">
        <f>Source!X722</f>
        <v>187.36</v>
      </c>
      <c r="S848">
        <f>ROUND((Source!CA722/100)*ROUND((Source!AF722*Source!AV722)*Source!I722, 2), 2)</f>
        <v>26.77</v>
      </c>
      <c r="T848">
        <f>Source!Y722</f>
        <v>26.77</v>
      </c>
      <c r="U848">
        <f>ROUND((175/100)*ROUND((Source!AE722*Source!AV722)*Source!I722, 2), 2)</f>
        <v>0</v>
      </c>
      <c r="V848">
        <f>ROUND((108/100)*ROUND(Source!CS722*Source!I722, 2), 2)</f>
        <v>0</v>
      </c>
    </row>
    <row r="849" spans="1:22" x14ac:dyDescent="0.2">
      <c r="C849" s="22" t="str">
        <f>"Объем: "&amp;Source!I722&amp;"=(50*"&amp;"5)*"&amp;"0,2*"&amp;"0,1/"&amp;"100"</f>
        <v>Объем: 0,05=(50*5)*0,2*0,1/100</v>
      </c>
    </row>
    <row r="850" spans="1:22" ht="14.25" x14ac:dyDescent="0.2">
      <c r="A850" s="18"/>
      <c r="B850" s="18"/>
      <c r="C850" s="18" t="s">
        <v>461</v>
      </c>
      <c r="D850" s="19"/>
      <c r="E850" s="9"/>
      <c r="F850" s="21">
        <f>Source!AO722</f>
        <v>5353.15</v>
      </c>
      <c r="G850" s="20" t="str">
        <f>Source!DG722</f>
        <v/>
      </c>
      <c r="H850" s="9">
        <f>Source!AV722</f>
        <v>1</v>
      </c>
      <c r="I850" s="9">
        <f>IF(Source!BA722&lt;&gt; 0, Source!BA722, 1)</f>
        <v>1</v>
      </c>
      <c r="J850" s="21">
        <f>Source!S722</f>
        <v>267.66000000000003</v>
      </c>
      <c r="K850" s="21"/>
    </row>
    <row r="851" spans="1:22" ht="14.25" x14ac:dyDescent="0.2">
      <c r="A851" s="18"/>
      <c r="B851" s="18"/>
      <c r="C851" s="18" t="s">
        <v>464</v>
      </c>
      <c r="D851" s="19"/>
      <c r="E851" s="9"/>
      <c r="F851" s="21">
        <f>Source!AL722</f>
        <v>22.51</v>
      </c>
      <c r="G851" s="20" t="str">
        <f>Source!DD722</f>
        <v/>
      </c>
      <c r="H851" s="9">
        <f>Source!AW722</f>
        <v>1</v>
      </c>
      <c r="I851" s="9">
        <f>IF(Source!BC722&lt;&gt; 0, Source!BC722, 1)</f>
        <v>1</v>
      </c>
      <c r="J851" s="21">
        <f>Source!P722</f>
        <v>1.1299999999999999</v>
      </c>
      <c r="K851" s="21"/>
    </row>
    <row r="852" spans="1:22" ht="14.25" x14ac:dyDescent="0.2">
      <c r="A852" s="18"/>
      <c r="B852" s="18"/>
      <c r="C852" s="18" t="s">
        <v>465</v>
      </c>
      <c r="D852" s="19" t="s">
        <v>466</v>
      </c>
      <c r="E852" s="9">
        <f>Source!AT722</f>
        <v>70</v>
      </c>
      <c r="F852" s="21"/>
      <c r="G852" s="20"/>
      <c r="H852" s="9"/>
      <c r="I852" s="9"/>
      <c r="J852" s="21">
        <f>SUM(R848:R851)</f>
        <v>187.36</v>
      </c>
      <c r="K852" s="21"/>
    </row>
    <row r="853" spans="1:22" ht="14.25" x14ac:dyDescent="0.2">
      <c r="A853" s="18"/>
      <c r="B853" s="18"/>
      <c r="C853" s="18" t="s">
        <v>467</v>
      </c>
      <c r="D853" s="19" t="s">
        <v>466</v>
      </c>
      <c r="E853" s="9">
        <f>Source!AU722</f>
        <v>10</v>
      </c>
      <c r="F853" s="21"/>
      <c r="G853" s="20"/>
      <c r="H853" s="9"/>
      <c r="I853" s="9"/>
      <c r="J853" s="21">
        <f>SUM(T848:T852)</f>
        <v>26.77</v>
      </c>
      <c r="K853" s="21"/>
    </row>
    <row r="854" spans="1:22" ht="14.25" x14ac:dyDescent="0.2">
      <c r="A854" s="18"/>
      <c r="B854" s="18"/>
      <c r="C854" s="18" t="s">
        <v>469</v>
      </c>
      <c r="D854" s="19" t="s">
        <v>470</v>
      </c>
      <c r="E854" s="9">
        <f>Source!AQ722</f>
        <v>10</v>
      </c>
      <c r="F854" s="21"/>
      <c r="G854" s="20" t="str">
        <f>Source!DI722</f>
        <v/>
      </c>
      <c r="H854" s="9">
        <f>Source!AV722</f>
        <v>1</v>
      </c>
      <c r="I854" s="9"/>
      <c r="J854" s="21"/>
      <c r="K854" s="21">
        <f>Source!U722</f>
        <v>0.5</v>
      </c>
    </row>
    <row r="855" spans="1:22" ht="15" x14ac:dyDescent="0.25">
      <c r="A855" s="26"/>
      <c r="B855" s="26"/>
      <c r="C855" s="26"/>
      <c r="D855" s="26"/>
      <c r="E855" s="26"/>
      <c r="F855" s="26"/>
      <c r="G855" s="26"/>
      <c r="H855" s="26"/>
      <c r="I855" s="53">
        <f>J850+J851+J852+J853</f>
        <v>482.92</v>
      </c>
      <c r="J855" s="53"/>
      <c r="K855" s="27">
        <f>IF(Source!I722&lt;&gt;0, ROUND(I855/Source!I722, 2), 0)</f>
        <v>9658.4</v>
      </c>
      <c r="P855" s="24">
        <f>I855</f>
        <v>482.92</v>
      </c>
    </row>
    <row r="856" spans="1:22" ht="71.25" x14ac:dyDescent="0.2">
      <c r="A856" s="18">
        <v>87</v>
      </c>
      <c r="B856" s="18" t="str">
        <f>Source!F724</f>
        <v>1.21-2103-9-2/1</v>
      </c>
      <c r="C856" s="18" t="str">
        <f>Source!G724</f>
        <v>Техническое обслуживание силовых сетей, проложенных по кирпичным и бетонным основаниям, провод сечением 3х1,5-6 мм2 / кабель греющий</v>
      </c>
      <c r="D856" s="19" t="str">
        <f>Source!H724</f>
        <v>100 м</v>
      </c>
      <c r="E856" s="9">
        <f>Source!I724</f>
        <v>0.01</v>
      </c>
      <c r="F856" s="21"/>
      <c r="G856" s="20"/>
      <c r="H856" s="9"/>
      <c r="I856" s="9"/>
      <c r="J856" s="21"/>
      <c r="K856" s="21"/>
      <c r="Q856">
        <f>ROUND((Source!BZ724/100)*ROUND((Source!AF724*Source!AV724)*Source!I724, 2), 2)</f>
        <v>37.47</v>
      </c>
      <c r="R856">
        <f>Source!X724</f>
        <v>37.47</v>
      </c>
      <c r="S856">
        <f>ROUND((Source!CA724/100)*ROUND((Source!AF724*Source!AV724)*Source!I724, 2), 2)</f>
        <v>5.35</v>
      </c>
      <c r="T856">
        <f>Source!Y724</f>
        <v>5.35</v>
      </c>
      <c r="U856">
        <f>ROUND((175/100)*ROUND((Source!AE724*Source!AV724)*Source!I724, 2), 2)</f>
        <v>0</v>
      </c>
      <c r="V856">
        <f>ROUND((108/100)*ROUND(Source!CS724*Source!I724, 2), 2)</f>
        <v>0</v>
      </c>
    </row>
    <row r="857" spans="1:22" x14ac:dyDescent="0.2">
      <c r="C857" s="22" t="str">
        <f>"Объем: "&amp;Source!I724&amp;"=10*"&amp;"5*"&amp;"0,2*"&amp;"0,1/"&amp;"100"</f>
        <v>Объем: 0,01=10*5*0,2*0,1/100</v>
      </c>
    </row>
    <row r="858" spans="1:22" ht="14.25" x14ac:dyDescent="0.2">
      <c r="A858" s="18"/>
      <c r="B858" s="18"/>
      <c r="C858" s="18" t="s">
        <v>461</v>
      </c>
      <c r="D858" s="19"/>
      <c r="E858" s="9"/>
      <c r="F858" s="21">
        <f>Source!AO724</f>
        <v>5353.15</v>
      </c>
      <c r="G858" s="20" t="str">
        <f>Source!DG724</f>
        <v/>
      </c>
      <c r="H858" s="9">
        <f>Source!AV724</f>
        <v>1</v>
      </c>
      <c r="I858" s="9">
        <f>IF(Source!BA724&lt;&gt; 0, Source!BA724, 1)</f>
        <v>1</v>
      </c>
      <c r="J858" s="21">
        <f>Source!S724</f>
        <v>53.53</v>
      </c>
      <c r="K858" s="21"/>
    </row>
    <row r="859" spans="1:22" ht="14.25" x14ac:dyDescent="0.2">
      <c r="A859" s="18"/>
      <c r="B859" s="18"/>
      <c r="C859" s="18" t="s">
        <v>464</v>
      </c>
      <c r="D859" s="19"/>
      <c r="E859" s="9"/>
      <c r="F859" s="21">
        <f>Source!AL724</f>
        <v>22.51</v>
      </c>
      <c r="G859" s="20" t="str">
        <f>Source!DD724</f>
        <v/>
      </c>
      <c r="H859" s="9">
        <f>Source!AW724</f>
        <v>1</v>
      </c>
      <c r="I859" s="9">
        <f>IF(Source!BC724&lt;&gt; 0, Source!BC724, 1)</f>
        <v>1</v>
      </c>
      <c r="J859" s="21">
        <f>Source!P724</f>
        <v>0.23</v>
      </c>
      <c r="K859" s="21"/>
    </row>
    <row r="860" spans="1:22" ht="14.25" x14ac:dyDescent="0.2">
      <c r="A860" s="18"/>
      <c r="B860" s="18"/>
      <c r="C860" s="18" t="s">
        <v>465</v>
      </c>
      <c r="D860" s="19" t="s">
        <v>466</v>
      </c>
      <c r="E860" s="9">
        <f>Source!AT724</f>
        <v>70</v>
      </c>
      <c r="F860" s="21"/>
      <c r="G860" s="20"/>
      <c r="H860" s="9"/>
      <c r="I860" s="9"/>
      <c r="J860" s="21">
        <f>SUM(R856:R859)</f>
        <v>37.47</v>
      </c>
      <c r="K860" s="21"/>
    </row>
    <row r="861" spans="1:22" ht="14.25" x14ac:dyDescent="0.2">
      <c r="A861" s="18"/>
      <c r="B861" s="18"/>
      <c r="C861" s="18" t="s">
        <v>467</v>
      </c>
      <c r="D861" s="19" t="s">
        <v>466</v>
      </c>
      <c r="E861" s="9">
        <f>Source!AU724</f>
        <v>10</v>
      </c>
      <c r="F861" s="21"/>
      <c r="G861" s="20"/>
      <c r="H861" s="9"/>
      <c r="I861" s="9"/>
      <c r="J861" s="21">
        <f>SUM(T856:T860)</f>
        <v>5.35</v>
      </c>
      <c r="K861" s="21"/>
    </row>
    <row r="862" spans="1:22" ht="14.25" x14ac:dyDescent="0.2">
      <c r="A862" s="18"/>
      <c r="B862" s="18"/>
      <c r="C862" s="18" t="s">
        <v>469</v>
      </c>
      <c r="D862" s="19" t="s">
        <v>470</v>
      </c>
      <c r="E862" s="9">
        <f>Source!AQ724</f>
        <v>10</v>
      </c>
      <c r="F862" s="21"/>
      <c r="G862" s="20" t="str">
        <f>Source!DI724</f>
        <v/>
      </c>
      <c r="H862" s="9">
        <f>Source!AV724</f>
        <v>1</v>
      </c>
      <c r="I862" s="9"/>
      <c r="J862" s="21"/>
      <c r="K862" s="21">
        <f>Source!U724</f>
        <v>0.1</v>
      </c>
    </row>
    <row r="863" spans="1:22" ht="15" x14ac:dyDescent="0.25">
      <c r="A863" s="26"/>
      <c r="B863" s="26"/>
      <c r="C863" s="26"/>
      <c r="D863" s="26"/>
      <c r="E863" s="26"/>
      <c r="F863" s="26"/>
      <c r="G863" s="26"/>
      <c r="H863" s="26"/>
      <c r="I863" s="53">
        <f>J858+J859+J860+J861</f>
        <v>96.579999999999984</v>
      </c>
      <c r="J863" s="53"/>
      <c r="K863" s="27">
        <f>IF(Source!I724&lt;&gt;0, ROUND(I863/Source!I724, 2), 0)</f>
        <v>9658</v>
      </c>
      <c r="P863" s="24">
        <f>I863</f>
        <v>96.579999999999984</v>
      </c>
    </row>
    <row r="865" spans="1:11" ht="15" x14ac:dyDescent="0.25">
      <c r="A865" s="57" t="str">
        <f>CONCATENATE("Итого по подразделу: ",IF(Source!G727&lt;&gt;"Новый подраздел", Source!G727, ""))</f>
        <v>Итого по подразделу: Электрооборудование</v>
      </c>
      <c r="B865" s="57"/>
      <c r="C865" s="57"/>
      <c r="D865" s="57"/>
      <c r="E865" s="57"/>
      <c r="F865" s="57"/>
      <c r="G865" s="57"/>
      <c r="H865" s="57"/>
      <c r="I865" s="55">
        <f>SUM(P781:P864)</f>
        <v>173931.10999999996</v>
      </c>
      <c r="J865" s="56"/>
      <c r="K865" s="28"/>
    </row>
    <row r="868" spans="1:11" ht="15" x14ac:dyDescent="0.25">
      <c r="A868" s="57" t="str">
        <f>CONCATENATE("Итого по разделу: ",IF(Source!G757&lt;&gt;"Новый раздел", Source!G757, ""))</f>
        <v>Итого по разделу: Офис-продакшн  5 шт.</v>
      </c>
      <c r="B868" s="57"/>
      <c r="C868" s="57"/>
      <c r="D868" s="57"/>
      <c r="E868" s="57"/>
      <c r="F868" s="57"/>
      <c r="G868" s="57"/>
      <c r="H868" s="57"/>
      <c r="I868" s="55">
        <f>SUM(P667:P867)</f>
        <v>306050.20999999996</v>
      </c>
      <c r="J868" s="56"/>
      <c r="K868" s="28"/>
    </row>
    <row r="871" spans="1:11" ht="15" hidden="1" x14ac:dyDescent="0.25">
      <c r="A871" s="57" t="str">
        <f>CONCATENATE("Итого по локальной смете: ",IF(Source!G787&lt;&gt;"Новая локальная смета", Source!G787, ""))</f>
        <v xml:space="preserve">Итого по локальной смете: </v>
      </c>
      <c r="B871" s="57"/>
      <c r="C871" s="57"/>
      <c r="D871" s="57"/>
      <c r="E871" s="57"/>
      <c r="F871" s="57"/>
      <c r="G871" s="57"/>
      <c r="H871" s="57"/>
      <c r="I871" s="55">
        <f>SUM(P32:P870)</f>
        <v>1750072.9899999991</v>
      </c>
      <c r="J871" s="56"/>
      <c r="K871" s="28"/>
    </row>
    <row r="874" spans="1:11" ht="15" x14ac:dyDescent="0.25">
      <c r="A874" s="57" t="s">
        <v>512</v>
      </c>
      <c r="B874" s="57"/>
      <c r="C874" s="57"/>
      <c r="D874" s="57"/>
      <c r="E874" s="57"/>
      <c r="F874" s="57"/>
      <c r="G874" s="57"/>
      <c r="H874" s="57"/>
      <c r="I874" s="55">
        <f>SUM(P1:P873)</f>
        <v>1750072.9899999991</v>
      </c>
      <c r="J874" s="56"/>
      <c r="K874" s="28"/>
    </row>
    <row r="875" spans="1:11" ht="15" x14ac:dyDescent="0.25">
      <c r="A875" s="29"/>
      <c r="B875" s="29"/>
      <c r="C875" s="29" t="s">
        <v>346</v>
      </c>
      <c r="D875" s="29"/>
      <c r="E875" s="29"/>
      <c r="F875" s="29"/>
      <c r="G875" s="29"/>
      <c r="H875" s="29"/>
      <c r="I875" s="25"/>
      <c r="J875" s="24">
        <f>I874</f>
        <v>1750072.9899999991</v>
      </c>
      <c r="K875" s="28"/>
    </row>
    <row r="876" spans="1:11" ht="15" x14ac:dyDescent="0.25">
      <c r="A876" s="29"/>
      <c r="B876" s="29"/>
      <c r="C876" s="29" t="s">
        <v>515</v>
      </c>
      <c r="D876" s="29"/>
      <c r="E876" s="29"/>
      <c r="F876" s="29"/>
      <c r="G876" s="29"/>
      <c r="H876" s="29"/>
      <c r="I876" s="25"/>
      <c r="J876" s="39">
        <f>J875*0.22</f>
        <v>385016.05779999978</v>
      </c>
      <c r="K876" s="28"/>
    </row>
    <row r="877" spans="1:11" ht="15" x14ac:dyDescent="0.25">
      <c r="A877" s="29"/>
      <c r="B877" s="29"/>
      <c r="C877" s="29" t="s">
        <v>138</v>
      </c>
      <c r="D877" s="29"/>
      <c r="E877" s="29"/>
      <c r="F877" s="29"/>
      <c r="G877" s="29"/>
      <c r="H877" s="29"/>
      <c r="I877" s="25"/>
      <c r="J877" s="39">
        <f>J876+J875</f>
        <v>2135089.0477999989</v>
      </c>
      <c r="K877" s="28"/>
    </row>
    <row r="880" spans="1:11" ht="14.25" x14ac:dyDescent="0.2">
      <c r="A880" s="58" t="s">
        <v>477</v>
      </c>
      <c r="B880" s="58"/>
      <c r="C880" s="30" t="str">
        <f>IF(Source!AC12&lt;&gt;"", Source!AC12," ")</f>
        <v xml:space="preserve"> </v>
      </c>
      <c r="D880" s="30"/>
      <c r="E880" s="30"/>
      <c r="F880" s="30"/>
      <c r="G880" s="30"/>
      <c r="H880" s="10" t="str">
        <f>IF(Source!AB12&lt;&gt;"", Source!AB12," ")</f>
        <v xml:space="preserve"> </v>
      </c>
      <c r="I880" s="10"/>
      <c r="J880" s="10"/>
      <c r="K880" s="10"/>
    </row>
    <row r="881" spans="1:11" ht="14.25" x14ac:dyDescent="0.2">
      <c r="A881" s="10"/>
      <c r="B881" s="10"/>
      <c r="C881" s="59" t="s">
        <v>478</v>
      </c>
      <c r="D881" s="59"/>
      <c r="E881" s="59"/>
      <c r="F881" s="59"/>
      <c r="G881" s="59"/>
      <c r="H881" s="10"/>
      <c r="I881" s="10"/>
      <c r="J881" s="10"/>
      <c r="K881" s="10"/>
    </row>
    <row r="882" spans="1:11" ht="14.25" x14ac:dyDescent="0.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</row>
    <row r="883" spans="1:11" ht="14.25" x14ac:dyDescent="0.2">
      <c r="A883" s="58" t="s">
        <v>479</v>
      </c>
      <c r="B883" s="58"/>
      <c r="C883" s="30" t="str">
        <f>IF(Source!AE12&lt;&gt;"", Source!AE12," ")</f>
        <v xml:space="preserve"> </v>
      </c>
      <c r="D883" s="30"/>
      <c r="E883" s="30"/>
      <c r="F883" s="30"/>
      <c r="G883" s="30"/>
      <c r="H883" s="10" t="str">
        <f>IF(Source!AD12&lt;&gt;"", Source!AD12," ")</f>
        <v xml:space="preserve"> </v>
      </c>
      <c r="I883" s="10"/>
      <c r="J883" s="10"/>
      <c r="K883" s="10"/>
    </row>
    <row r="884" spans="1:11" ht="14.25" x14ac:dyDescent="0.2">
      <c r="A884" s="10"/>
      <c r="B884" s="10"/>
      <c r="C884" s="59" t="s">
        <v>478</v>
      </c>
      <c r="D884" s="59"/>
      <c r="E884" s="59"/>
      <c r="F884" s="59"/>
      <c r="G884" s="59"/>
      <c r="H884" s="10"/>
      <c r="I884" s="10"/>
      <c r="J884" s="10"/>
      <c r="K884" s="10"/>
    </row>
  </sheetData>
  <mergeCells count="181">
    <mergeCell ref="I874:J874"/>
    <mergeCell ref="A874:H874"/>
    <mergeCell ref="A880:B880"/>
    <mergeCell ref="C881:G881"/>
    <mergeCell ref="A883:B883"/>
    <mergeCell ref="C884:G884"/>
    <mergeCell ref="I863:J863"/>
    <mergeCell ref="I865:J865"/>
    <mergeCell ref="A865:H865"/>
    <mergeCell ref="I868:J868"/>
    <mergeCell ref="A868:H868"/>
    <mergeCell ref="I871:J871"/>
    <mergeCell ref="A871:H871"/>
    <mergeCell ref="I813:J813"/>
    <mergeCell ref="I820:J820"/>
    <mergeCell ref="I831:J831"/>
    <mergeCell ref="I839:J839"/>
    <mergeCell ref="I847:J847"/>
    <mergeCell ref="I855:J855"/>
    <mergeCell ref="I778:J778"/>
    <mergeCell ref="A778:H778"/>
    <mergeCell ref="A781:K781"/>
    <mergeCell ref="I788:J788"/>
    <mergeCell ref="I797:J797"/>
    <mergeCell ref="I805:J805"/>
    <mergeCell ref="I751:J751"/>
    <mergeCell ref="I753:J753"/>
    <mergeCell ref="A753:H753"/>
    <mergeCell ref="A756:K756"/>
    <mergeCell ref="I766:J766"/>
    <mergeCell ref="I776:J776"/>
    <mergeCell ref="I700:J700"/>
    <mergeCell ref="I711:J711"/>
    <mergeCell ref="I720:J720"/>
    <mergeCell ref="I727:J727"/>
    <mergeCell ref="I735:J735"/>
    <mergeCell ref="I742:J742"/>
    <mergeCell ref="I664:J664"/>
    <mergeCell ref="A664:H664"/>
    <mergeCell ref="A667:K667"/>
    <mergeCell ref="A669:K669"/>
    <mergeCell ref="I679:J679"/>
    <mergeCell ref="I689:J689"/>
    <mergeCell ref="I635:J635"/>
    <mergeCell ref="I643:J643"/>
    <mergeCell ref="I651:J651"/>
    <mergeCell ref="I659:J659"/>
    <mergeCell ref="I661:J661"/>
    <mergeCell ref="A661:H661"/>
    <mergeCell ref="I584:J584"/>
    <mergeCell ref="I593:J593"/>
    <mergeCell ref="I601:J601"/>
    <mergeCell ref="I609:J609"/>
    <mergeCell ref="I617:J617"/>
    <mergeCell ref="I624:J624"/>
    <mergeCell ref="I555:J555"/>
    <mergeCell ref="I565:J565"/>
    <mergeCell ref="I572:J572"/>
    <mergeCell ref="I574:J574"/>
    <mergeCell ref="A574:H574"/>
    <mergeCell ref="A577:K577"/>
    <mergeCell ref="I521:J521"/>
    <mergeCell ref="I523:J523"/>
    <mergeCell ref="A523:H523"/>
    <mergeCell ref="A526:K526"/>
    <mergeCell ref="I537:J537"/>
    <mergeCell ref="I548:J548"/>
    <mergeCell ref="A467:K467"/>
    <mergeCell ref="I478:J478"/>
    <mergeCell ref="I489:J489"/>
    <mergeCell ref="I499:J499"/>
    <mergeCell ref="I506:J506"/>
    <mergeCell ref="I514:J514"/>
    <mergeCell ref="I457:J457"/>
    <mergeCell ref="I459:J459"/>
    <mergeCell ref="A459:H459"/>
    <mergeCell ref="I462:J462"/>
    <mergeCell ref="A462:H462"/>
    <mergeCell ref="A465:K465"/>
    <mergeCell ref="I407:J407"/>
    <mergeCell ref="I415:J415"/>
    <mergeCell ref="I422:J422"/>
    <mergeCell ref="I433:J433"/>
    <mergeCell ref="I441:J441"/>
    <mergeCell ref="I449:J449"/>
    <mergeCell ref="A353:K353"/>
    <mergeCell ref="I360:J360"/>
    <mergeCell ref="I369:J369"/>
    <mergeCell ref="I380:J380"/>
    <mergeCell ref="I391:J391"/>
    <mergeCell ref="I399:J399"/>
    <mergeCell ref="A309:K309"/>
    <mergeCell ref="I320:J320"/>
    <mergeCell ref="I331:J331"/>
    <mergeCell ref="I338:J338"/>
    <mergeCell ref="I348:J348"/>
    <mergeCell ref="I350:J350"/>
    <mergeCell ref="A350:H350"/>
    <mergeCell ref="I282:J282"/>
    <mergeCell ref="I289:J289"/>
    <mergeCell ref="I297:J297"/>
    <mergeCell ref="I304:J304"/>
    <mergeCell ref="I306:J306"/>
    <mergeCell ref="A306:H306"/>
    <mergeCell ref="I245:J245"/>
    <mergeCell ref="A245:H245"/>
    <mergeCell ref="A248:K248"/>
    <mergeCell ref="A250:K250"/>
    <mergeCell ref="I261:J261"/>
    <mergeCell ref="I272:J272"/>
    <mergeCell ref="I216:J216"/>
    <mergeCell ref="I224:J224"/>
    <mergeCell ref="I232:J232"/>
    <mergeCell ref="I240:J240"/>
    <mergeCell ref="I242:J242"/>
    <mergeCell ref="A242:H242"/>
    <mergeCell ref="I168:J168"/>
    <mergeCell ref="I175:J175"/>
    <mergeCell ref="I183:J183"/>
    <mergeCell ref="I191:J191"/>
    <mergeCell ref="I198:J198"/>
    <mergeCell ref="I205:J205"/>
    <mergeCell ref="I139:J139"/>
    <mergeCell ref="I141:J141"/>
    <mergeCell ref="A141:H141"/>
    <mergeCell ref="A144:K144"/>
    <mergeCell ref="I151:J151"/>
    <mergeCell ref="I160:J160"/>
    <mergeCell ref="I107:J107"/>
    <mergeCell ref="I109:J109"/>
    <mergeCell ref="A109:H109"/>
    <mergeCell ref="A112:K112"/>
    <mergeCell ref="I122:J122"/>
    <mergeCell ref="I132:J132"/>
    <mergeCell ref="I58:J58"/>
    <mergeCell ref="I68:J68"/>
    <mergeCell ref="I75:J75"/>
    <mergeCell ref="I83:J83"/>
    <mergeCell ref="I90:J90"/>
    <mergeCell ref="I100:J100"/>
    <mergeCell ref="I27:I29"/>
    <mergeCell ref="J27:J29"/>
    <mergeCell ref="A32:K32"/>
    <mergeCell ref="A34:K34"/>
    <mergeCell ref="A36:K36"/>
    <mergeCell ref="I47:J47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58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880"/>
  <sheetViews>
    <sheetView view="pageBreakPreview" zoomScaleNormal="100" zoomScaleSheetLayoutView="100" workbookViewId="0">
      <selection activeCell="H31" sqref="H31:I31"/>
    </sheetView>
  </sheetViews>
  <sheetFormatPr defaultRowHeight="12.75" x14ac:dyDescent="0.2"/>
  <cols>
    <col min="1" max="2" width="5.7109375" customWidth="1"/>
    <col min="3" max="3" width="20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8"/>
      <c r="D2" s="28"/>
      <c r="E2" s="28"/>
      <c r="F2" s="10"/>
      <c r="G2" s="10"/>
      <c r="H2" s="10"/>
      <c r="I2" s="60" t="s">
        <v>480</v>
      </c>
      <c r="J2" s="60"/>
      <c r="K2" s="60"/>
      <c r="L2" s="60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60" t="s">
        <v>481</v>
      </c>
      <c r="J3" s="60"/>
      <c r="K3" s="60"/>
      <c r="L3" s="60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60" t="s">
        <v>482</v>
      </c>
      <c r="J4" s="60"/>
      <c r="K4" s="60"/>
      <c r="L4" s="60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1" t="s">
        <v>483</v>
      </c>
      <c r="K6" s="61"/>
      <c r="L6" s="61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484</v>
      </c>
      <c r="J7" s="62" t="s">
        <v>485</v>
      </c>
      <c r="K7" s="62"/>
      <c r="L7" s="62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1" t="str">
        <f>IF(Source!AT15 &lt;&gt; "", Source!AT15, "")</f>
        <v/>
      </c>
      <c r="K8" s="61"/>
      <c r="L8" s="61"/>
    </row>
    <row r="9" spans="1:12" ht="14.25" x14ac:dyDescent="0.2">
      <c r="A9" s="10" t="s">
        <v>486</v>
      </c>
      <c r="B9" s="10"/>
      <c r="C9" s="63" t="str">
        <f>IF(Source!BA15 &lt;&gt; "", Source!BA15, IF(Source!AU15 &lt;&gt; "", Source!AU15, ""))</f>
        <v/>
      </c>
      <c r="D9" s="63"/>
      <c r="E9" s="63"/>
      <c r="F9" s="63"/>
      <c r="G9" s="63"/>
      <c r="H9" s="63"/>
      <c r="I9" s="9" t="s">
        <v>487</v>
      </c>
      <c r="J9" s="61"/>
      <c r="K9" s="61"/>
      <c r="L9" s="61"/>
    </row>
    <row r="10" spans="1:12" ht="14.25" x14ac:dyDescent="0.2">
      <c r="A10" s="10"/>
      <c r="B10" s="10"/>
      <c r="C10" s="59" t="s">
        <v>488</v>
      </c>
      <c r="D10" s="59"/>
      <c r="E10" s="59"/>
      <c r="F10" s="59"/>
      <c r="G10" s="59"/>
      <c r="H10" s="59"/>
      <c r="I10" s="10"/>
      <c r="J10" s="61" t="str">
        <f>IF(Source!AK15 &lt;&gt; "", Source!AK15, "")</f>
        <v/>
      </c>
      <c r="K10" s="61"/>
      <c r="L10" s="61"/>
    </row>
    <row r="11" spans="1:12" ht="14.25" x14ac:dyDescent="0.2">
      <c r="A11" s="10" t="s">
        <v>489</v>
      </c>
      <c r="B11" s="10"/>
      <c r="C11" s="63" t="str">
        <f>IF(Source!AX12&lt;&gt; "", Source!AX12, IF(Source!AJ12 &lt;&gt; "", Source!AJ12, ""))</f>
        <v/>
      </c>
      <c r="D11" s="63"/>
      <c r="E11" s="63"/>
      <c r="F11" s="63"/>
      <c r="G11" s="63"/>
      <c r="H11" s="63"/>
      <c r="I11" s="9" t="s">
        <v>487</v>
      </c>
      <c r="J11" s="61"/>
      <c r="K11" s="61"/>
      <c r="L11" s="61"/>
    </row>
    <row r="12" spans="1:12" ht="14.25" x14ac:dyDescent="0.2">
      <c r="A12" s="10"/>
      <c r="B12" s="10"/>
      <c r="C12" s="59" t="s">
        <v>488</v>
      </c>
      <c r="D12" s="59"/>
      <c r="E12" s="59"/>
      <c r="F12" s="59"/>
      <c r="G12" s="59"/>
      <c r="H12" s="59"/>
      <c r="I12" s="10"/>
      <c r="J12" s="61" t="str">
        <f>IF(Source!AO15 &lt;&gt; "", Source!AO15, "")</f>
        <v/>
      </c>
      <c r="K12" s="61"/>
      <c r="L12" s="61"/>
    </row>
    <row r="13" spans="1:12" ht="14.25" x14ac:dyDescent="0.2">
      <c r="A13" s="10" t="s">
        <v>490</v>
      </c>
      <c r="B13" s="10"/>
      <c r="C13" s="63" t="str">
        <f>IF(Source!AY12&lt;&gt; "", Source!AY12, IF(Source!AN12 &lt;&gt; "", Source!AN12, ""))</f>
        <v/>
      </c>
      <c r="D13" s="63"/>
      <c r="E13" s="63"/>
      <c r="F13" s="63"/>
      <c r="G13" s="63"/>
      <c r="H13" s="63"/>
      <c r="I13" s="9" t="s">
        <v>487</v>
      </c>
      <c r="J13" s="61"/>
      <c r="K13" s="61"/>
      <c r="L13" s="61"/>
    </row>
    <row r="14" spans="1:12" ht="14.25" x14ac:dyDescent="0.2">
      <c r="A14" s="10"/>
      <c r="B14" s="10"/>
      <c r="C14" s="59" t="s">
        <v>488</v>
      </c>
      <c r="D14" s="59"/>
      <c r="E14" s="59"/>
      <c r="F14" s="59"/>
      <c r="G14" s="59"/>
      <c r="H14" s="59"/>
      <c r="I14" s="10"/>
      <c r="J14" s="61" t="str">
        <f>IF(Source!CO15 &lt;&gt; "", Source!CO15, "")</f>
        <v/>
      </c>
      <c r="K14" s="61"/>
      <c r="L14" s="61"/>
    </row>
    <row r="15" spans="1:12" ht="14.25" x14ac:dyDescent="0.2">
      <c r="A15" s="10" t="s">
        <v>491</v>
      </c>
      <c r="B15" s="10"/>
      <c r="C15" s="63" t="s">
        <v>4</v>
      </c>
      <c r="D15" s="63"/>
      <c r="E15" s="63"/>
      <c r="F15" s="63"/>
      <c r="G15" s="63"/>
      <c r="H15" s="63"/>
      <c r="I15" s="10"/>
      <c r="J15" s="61"/>
      <c r="K15" s="61"/>
      <c r="L15" s="61"/>
    </row>
    <row r="16" spans="1:12" ht="14.25" x14ac:dyDescent="0.2">
      <c r="A16" s="10"/>
      <c r="B16" s="10"/>
      <c r="C16" s="59" t="s">
        <v>492</v>
      </c>
      <c r="D16" s="59"/>
      <c r="E16" s="59"/>
      <c r="F16" s="59"/>
      <c r="G16" s="59"/>
      <c r="H16" s="59"/>
      <c r="I16" s="10"/>
      <c r="J16" s="61" t="str">
        <f>IF(Source!CP15 &lt;&gt; "", Source!CP15, "")</f>
        <v/>
      </c>
      <c r="K16" s="61"/>
      <c r="L16" s="61"/>
    </row>
    <row r="17" spans="1:12" ht="14.25" x14ac:dyDescent="0.2">
      <c r="A17" s="10" t="s">
        <v>493</v>
      </c>
      <c r="B17" s="10"/>
      <c r="C17" s="40" t="str">
        <f>IF(Source!G12&lt;&gt;"Новый объект", Source!G12, "")</f>
        <v>Офис продакшн и туалетные модули_на 4 мес. (10%) испр.</v>
      </c>
      <c r="D17" s="40"/>
      <c r="E17" s="40"/>
      <c r="F17" s="40"/>
      <c r="G17" s="40"/>
      <c r="H17" s="40"/>
      <c r="I17" s="10"/>
      <c r="J17" s="61"/>
      <c r="K17" s="61"/>
      <c r="L17" s="61"/>
    </row>
    <row r="18" spans="1:12" ht="14.25" x14ac:dyDescent="0.2">
      <c r="A18" s="10"/>
      <c r="B18" s="10"/>
      <c r="C18" s="59" t="s">
        <v>494</v>
      </c>
      <c r="D18" s="59"/>
      <c r="E18" s="59"/>
      <c r="F18" s="59"/>
      <c r="G18" s="59"/>
      <c r="H18" s="59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41" t="s">
        <v>495</v>
      </c>
      <c r="H19" s="41"/>
      <c r="I19" s="41"/>
      <c r="J19" s="61" t="str">
        <f>IF(Source!CQ15 &lt;&gt; "", Source!CQ15, "")</f>
        <v/>
      </c>
      <c r="K19" s="61"/>
      <c r="L19" s="61"/>
    </row>
    <row r="20" spans="1:12" ht="14.25" x14ac:dyDescent="0.2">
      <c r="A20" s="10"/>
      <c r="B20" s="10"/>
      <c r="C20" s="10"/>
      <c r="D20" s="10"/>
      <c r="E20" s="10"/>
      <c r="F20" s="10"/>
      <c r="G20" s="41" t="s">
        <v>496</v>
      </c>
      <c r="H20" s="70"/>
      <c r="I20" s="31" t="s">
        <v>497</v>
      </c>
      <c r="J20" s="61" t="str">
        <f>IF(Source!CR15 &lt;&gt; "", Source!CR15, "")</f>
        <v/>
      </c>
      <c r="K20" s="61"/>
      <c r="L20" s="61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2" t="s">
        <v>498</v>
      </c>
      <c r="J21" s="71" t="str">
        <f>IF(Source!CS15 &lt;&gt; 0, Source!CS15, "")</f>
        <v/>
      </c>
      <c r="K21" s="71"/>
      <c r="L21" s="71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499</v>
      </c>
      <c r="J22" s="61" t="str">
        <f>IF(Source!CT15 &lt;&gt; "", Source!CT15, "")</f>
        <v/>
      </c>
      <c r="K22" s="61"/>
      <c r="L22" s="61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4" t="s">
        <v>500</v>
      </c>
      <c r="H24" s="66" t="s">
        <v>501</v>
      </c>
      <c r="I24" s="66" t="s">
        <v>502</v>
      </c>
      <c r="J24" s="68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5"/>
      <c r="H25" s="67"/>
      <c r="I25" s="33" t="s">
        <v>503</v>
      </c>
      <c r="J25" s="34" t="s">
        <v>504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2" t="str">
        <f>IF(Source!CN15 &lt;&gt; "", Source!CN15, "")</f>
        <v/>
      </c>
      <c r="H26" s="35" t="str">
        <f>IF(Source!CX15 &lt;&gt; 0, Source!CX15, "")</f>
        <v/>
      </c>
      <c r="I26" s="36" t="str">
        <f>IF(Source!CV15 &lt;&gt; 0, Source!CV15, "")</f>
        <v/>
      </c>
      <c r="J26" s="36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9" t="s">
        <v>505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</row>
    <row r="29" spans="1:12" ht="18" x14ac:dyDescent="0.25">
      <c r="A29" s="69" t="s">
        <v>506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507</v>
      </c>
      <c r="B31" s="10"/>
      <c r="C31" s="10"/>
      <c r="D31" s="10"/>
      <c r="E31" s="10"/>
      <c r="F31" s="10"/>
      <c r="G31" s="10"/>
      <c r="H31" s="72">
        <f>J880/1000</f>
        <v>1750.072989999999</v>
      </c>
      <c r="I31" s="72"/>
      <c r="J31" s="10" t="s">
        <v>508</v>
      </c>
      <c r="K31" s="10"/>
      <c r="L31" s="10"/>
    </row>
    <row r="32" spans="1:12" ht="14.25" x14ac:dyDescent="0.2">
      <c r="A32" s="10" t="s">
        <v>460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3" t="s">
        <v>509</v>
      </c>
      <c r="B33" s="73"/>
      <c r="C33" s="51" t="s">
        <v>448</v>
      </c>
      <c r="D33" s="51" t="s">
        <v>449</v>
      </c>
      <c r="E33" s="51" t="s">
        <v>450</v>
      </c>
      <c r="F33" s="51" t="s">
        <v>451</v>
      </c>
      <c r="G33" s="51" t="s">
        <v>452</v>
      </c>
      <c r="H33" s="51" t="s">
        <v>453</v>
      </c>
      <c r="I33" s="51" t="s">
        <v>454</v>
      </c>
      <c r="J33" s="51" t="s">
        <v>455</v>
      </c>
      <c r="K33" s="51" t="s">
        <v>456</v>
      </c>
      <c r="L33" s="37" t="s">
        <v>457</v>
      </c>
    </row>
    <row r="34" spans="1:22" ht="28.5" x14ac:dyDescent="0.2">
      <c r="A34" s="74" t="s">
        <v>510</v>
      </c>
      <c r="B34" s="74" t="s">
        <v>511</v>
      </c>
      <c r="C34" s="52"/>
      <c r="D34" s="52"/>
      <c r="E34" s="52"/>
      <c r="F34" s="52"/>
      <c r="G34" s="52"/>
      <c r="H34" s="52"/>
      <c r="I34" s="52"/>
      <c r="J34" s="52"/>
      <c r="K34" s="52"/>
      <c r="L34" s="38" t="s">
        <v>458</v>
      </c>
    </row>
    <row r="35" spans="1:22" ht="28.5" x14ac:dyDescent="0.2">
      <c r="A35" s="74"/>
      <c r="B35" s="74"/>
      <c r="C35" s="52"/>
      <c r="D35" s="52"/>
      <c r="E35" s="52"/>
      <c r="F35" s="52"/>
      <c r="G35" s="52"/>
      <c r="H35" s="52"/>
      <c r="I35" s="52"/>
      <c r="J35" s="52"/>
      <c r="K35" s="52"/>
      <c r="L35" s="38" t="s">
        <v>459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54" t="str">
        <f>CONCATENATE("Локальная смета: ",IF(Source!G20&lt;&gt;"Новая локальная смета", Source!G20, ""))</f>
        <v xml:space="preserve">Локальная смета: 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</row>
    <row r="40" spans="1:22" ht="16.5" x14ac:dyDescent="0.25">
      <c r="A40" s="54" t="str">
        <f>CONCATENATE("Раздел: ",IF(Source!G24&lt;&gt;"Новый раздел", Source!G24, ""))</f>
        <v>Раздел: Туалетные модули 3 кабины в блоке. (15 модулей.)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</row>
    <row r="42" spans="1:22" ht="16.5" x14ac:dyDescent="0.25">
      <c r="A42" s="54" t="str">
        <f>CONCATENATE("Подраздел: ",IF(Source!G28&lt;&gt;"Новый подраздел", Source!G28, ""))</f>
        <v>Подраздел: Оборудование водоснабжения и водоотведения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</row>
    <row r="43" spans="1:22" ht="28.5" x14ac:dyDescent="0.2">
      <c r="A43" s="18">
        <v>1</v>
      </c>
      <c r="B43" s="18">
        <v>1</v>
      </c>
      <c r="C43" s="18" t="str">
        <f>Source!F34</f>
        <v>1.16-3201-2-1/1</v>
      </c>
      <c r="D43" s="18" t="str">
        <f>Source!G34</f>
        <v>Укрепление расшатавшихся санитарно-технических приборов - умывальники</v>
      </c>
      <c r="E43" s="19" t="str">
        <f>Source!H34</f>
        <v>100 шт.</v>
      </c>
      <c r="F43" s="9">
        <f>Source!I34</f>
        <v>0.45</v>
      </c>
      <c r="G43" s="21"/>
      <c r="H43" s="20"/>
      <c r="I43" s="9"/>
      <c r="J43" s="9"/>
      <c r="K43" s="21"/>
      <c r="L43" s="21"/>
      <c r="Q43">
        <f>ROUND((Source!BZ34/100)*ROUND((Source!AF34*Source!AV34)*Source!I34, 2), 2)</f>
        <v>16674.650000000001</v>
      </c>
      <c r="R43">
        <f>Source!X34</f>
        <v>16674.650000000001</v>
      </c>
      <c r="S43">
        <f>ROUND((Source!CA34/100)*ROUND((Source!AF34*Source!AV34)*Source!I34, 2), 2)</f>
        <v>2382.09</v>
      </c>
      <c r="T43">
        <f>Source!Y34</f>
        <v>2382.09</v>
      </c>
      <c r="U43">
        <f>ROUND((175/100)*ROUND((Source!AE34*Source!AV34)*Source!I34, 2), 2)</f>
        <v>0.56000000000000005</v>
      </c>
      <c r="V43">
        <f>ROUND((108/100)*ROUND(Source!CS34*Source!I34, 2), 2)</f>
        <v>0.35</v>
      </c>
    </row>
    <row r="44" spans="1:22" x14ac:dyDescent="0.2">
      <c r="D44" s="22" t="str">
        <f>"Объем: "&amp;Source!I34&amp;"=(15)*"&amp;"3/"&amp;"100"</f>
        <v>Объем: 0,45=(15)*3/100</v>
      </c>
    </row>
    <row r="45" spans="1:22" ht="14.25" x14ac:dyDescent="0.2">
      <c r="A45" s="18"/>
      <c r="B45" s="18"/>
      <c r="C45" s="18"/>
      <c r="D45" s="18" t="s">
        <v>461</v>
      </c>
      <c r="E45" s="19"/>
      <c r="F45" s="9"/>
      <c r="G45" s="21">
        <f>Source!AO34</f>
        <v>52935.41</v>
      </c>
      <c r="H45" s="20" t="str">
        <f>Source!DG34</f>
        <v/>
      </c>
      <c r="I45" s="9">
        <f>Source!AV34</f>
        <v>1</v>
      </c>
      <c r="J45" s="9">
        <f>IF(Source!BA34&lt;&gt; 0, Source!BA34, 1)</f>
        <v>1</v>
      </c>
      <c r="K45" s="21">
        <f>Source!S34</f>
        <v>23820.93</v>
      </c>
      <c r="L45" s="21"/>
    </row>
    <row r="46" spans="1:22" ht="14.25" x14ac:dyDescent="0.2">
      <c r="A46" s="18"/>
      <c r="B46" s="18"/>
      <c r="C46" s="18"/>
      <c r="D46" s="18" t="s">
        <v>462</v>
      </c>
      <c r="E46" s="19"/>
      <c r="F46" s="9"/>
      <c r="G46" s="21">
        <f>Source!AM34</f>
        <v>61.83</v>
      </c>
      <c r="H46" s="20" t="str">
        <f>Source!DE34</f>
        <v/>
      </c>
      <c r="I46" s="9">
        <f>Source!AV34</f>
        <v>1</v>
      </c>
      <c r="J46" s="9">
        <f>IF(Source!BB34&lt;&gt; 0, Source!BB34, 1)</f>
        <v>1</v>
      </c>
      <c r="K46" s="21">
        <f>Source!Q34</f>
        <v>27.82</v>
      </c>
      <c r="L46" s="21"/>
    </row>
    <row r="47" spans="1:22" ht="14.25" x14ac:dyDescent="0.2">
      <c r="A47" s="18"/>
      <c r="B47" s="18"/>
      <c r="C47" s="18"/>
      <c r="D47" s="18" t="s">
        <v>463</v>
      </c>
      <c r="E47" s="19"/>
      <c r="F47" s="9"/>
      <c r="G47" s="21">
        <f>Source!AN34</f>
        <v>0.7</v>
      </c>
      <c r="H47" s="20" t="str">
        <f>Source!DF34</f>
        <v/>
      </c>
      <c r="I47" s="9">
        <f>Source!AV34</f>
        <v>1</v>
      </c>
      <c r="J47" s="9">
        <f>IF(Source!BS34&lt;&gt; 0, Source!BS34, 1)</f>
        <v>1</v>
      </c>
      <c r="K47" s="23">
        <f>Source!R34</f>
        <v>0.32</v>
      </c>
      <c r="L47" s="21"/>
    </row>
    <row r="48" spans="1:22" ht="14.25" x14ac:dyDescent="0.2">
      <c r="A48" s="18"/>
      <c r="B48" s="18"/>
      <c r="C48" s="18"/>
      <c r="D48" s="18" t="s">
        <v>464</v>
      </c>
      <c r="E48" s="19"/>
      <c r="F48" s="9"/>
      <c r="G48" s="21">
        <f>Source!AL34</f>
        <v>776.55</v>
      </c>
      <c r="H48" s="20" t="str">
        <f>Source!DD34</f>
        <v/>
      </c>
      <c r="I48" s="9">
        <f>Source!AW34</f>
        <v>1</v>
      </c>
      <c r="J48" s="9">
        <f>IF(Source!BC34&lt;&gt; 0, Source!BC34, 1)</f>
        <v>1</v>
      </c>
      <c r="K48" s="21">
        <f>Source!P34</f>
        <v>349.45</v>
      </c>
      <c r="L48" s="21"/>
    </row>
    <row r="49" spans="1:22" ht="14.25" x14ac:dyDescent="0.2">
      <c r="A49" s="18"/>
      <c r="B49" s="18"/>
      <c r="C49" s="18"/>
      <c r="D49" s="18" t="s">
        <v>465</v>
      </c>
      <c r="E49" s="19" t="s">
        <v>466</v>
      </c>
      <c r="F49" s="9">
        <f>Source!AT34</f>
        <v>70</v>
      </c>
      <c r="G49" s="21"/>
      <c r="H49" s="20"/>
      <c r="I49" s="9"/>
      <c r="J49" s="9"/>
      <c r="K49" s="21">
        <f>SUM(R43:R48)</f>
        <v>16674.650000000001</v>
      </c>
      <c r="L49" s="21"/>
    </row>
    <row r="50" spans="1:22" ht="14.25" x14ac:dyDescent="0.2">
      <c r="A50" s="18"/>
      <c r="B50" s="18"/>
      <c r="C50" s="18"/>
      <c r="D50" s="18" t="s">
        <v>467</v>
      </c>
      <c r="E50" s="19" t="s">
        <v>466</v>
      </c>
      <c r="F50" s="9">
        <f>Source!AU34</f>
        <v>10</v>
      </c>
      <c r="G50" s="21"/>
      <c r="H50" s="20"/>
      <c r="I50" s="9"/>
      <c r="J50" s="9"/>
      <c r="K50" s="21">
        <f>SUM(T43:T49)</f>
        <v>2382.09</v>
      </c>
      <c r="L50" s="21"/>
    </row>
    <row r="51" spans="1:22" ht="14.25" x14ac:dyDescent="0.2">
      <c r="A51" s="18"/>
      <c r="B51" s="18"/>
      <c r="C51" s="18"/>
      <c r="D51" s="18" t="s">
        <v>468</v>
      </c>
      <c r="E51" s="19" t="s">
        <v>466</v>
      </c>
      <c r="F51" s="9">
        <f>108</f>
        <v>108</v>
      </c>
      <c r="G51" s="21"/>
      <c r="H51" s="20"/>
      <c r="I51" s="9"/>
      <c r="J51" s="9"/>
      <c r="K51" s="21">
        <f>SUM(V43:V50)</f>
        <v>0.35</v>
      </c>
      <c r="L51" s="21"/>
    </row>
    <row r="52" spans="1:22" ht="14.25" x14ac:dyDescent="0.2">
      <c r="A52" s="18"/>
      <c r="B52" s="18"/>
      <c r="C52" s="18"/>
      <c r="D52" s="18" t="s">
        <v>469</v>
      </c>
      <c r="E52" s="19" t="s">
        <v>470</v>
      </c>
      <c r="F52" s="9">
        <f>Source!AQ34</f>
        <v>104.44</v>
      </c>
      <c r="G52" s="21"/>
      <c r="H52" s="20" t="str">
        <f>Source!DI34</f>
        <v/>
      </c>
      <c r="I52" s="9">
        <f>Source!AV34</f>
        <v>1</v>
      </c>
      <c r="J52" s="9"/>
      <c r="K52" s="21"/>
      <c r="L52" s="21">
        <f>Source!U34</f>
        <v>46.997999999999998</v>
      </c>
    </row>
    <row r="53" spans="1:22" ht="15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53">
        <f>K45+K46+K48+K49+K50+K51</f>
        <v>43255.29</v>
      </c>
      <c r="K53" s="53"/>
      <c r="L53" s="27">
        <f>IF(Source!I34&lt;&gt;0, ROUND(J53/Source!I34, 2), 0)</f>
        <v>96122.87</v>
      </c>
      <c r="P53" s="24">
        <f>J53</f>
        <v>43255.29</v>
      </c>
    </row>
    <row r="54" spans="1:22" ht="42.75" x14ac:dyDescent="0.2">
      <c r="A54" s="18">
        <v>2</v>
      </c>
      <c r="B54" s="18">
        <v>2</v>
      </c>
      <c r="C54" s="18" t="str">
        <f>Source!F35</f>
        <v>1.16-3201-2-2/1</v>
      </c>
      <c r="D54" s="18" t="str">
        <f>Source!G35</f>
        <v>Укрепление расшатавшихся санитарно-технических приборов - унитазы и биде</v>
      </c>
      <c r="E54" s="19" t="str">
        <f>Source!H35</f>
        <v>100 шт.</v>
      </c>
      <c r="F54" s="9">
        <f>Source!I35</f>
        <v>0.45</v>
      </c>
      <c r="G54" s="21"/>
      <c r="H54" s="20"/>
      <c r="I54" s="9"/>
      <c r="J54" s="9"/>
      <c r="K54" s="21"/>
      <c r="L54" s="21"/>
      <c r="Q54">
        <f>ROUND((Source!BZ35/100)*ROUND((Source!AF35*Source!AV35)*Source!I35, 2), 2)</f>
        <v>24256.799999999999</v>
      </c>
      <c r="R54">
        <f>Source!X35</f>
        <v>24256.799999999999</v>
      </c>
      <c r="S54">
        <f>ROUND((Source!CA35/100)*ROUND((Source!AF35*Source!AV35)*Source!I35, 2), 2)</f>
        <v>3465.26</v>
      </c>
      <c r="T54">
        <f>Source!Y35</f>
        <v>3465.26</v>
      </c>
      <c r="U54">
        <f>ROUND((175/100)*ROUND((Source!AE35*Source!AV35)*Source!I35, 2), 2)</f>
        <v>0.56000000000000005</v>
      </c>
      <c r="V54">
        <f>ROUND((108/100)*ROUND(Source!CS35*Source!I35, 2), 2)</f>
        <v>0.35</v>
      </c>
    </row>
    <row r="55" spans="1:22" x14ac:dyDescent="0.2">
      <c r="D55" s="22" t="str">
        <f>"Объем: "&amp;Source!I35&amp;"=(15)*"&amp;"3/"&amp;"100"</f>
        <v>Объем: 0,45=(15)*3/100</v>
      </c>
    </row>
    <row r="56" spans="1:22" ht="14.25" x14ac:dyDescent="0.2">
      <c r="A56" s="18"/>
      <c r="B56" s="18"/>
      <c r="C56" s="18"/>
      <c r="D56" s="18" t="s">
        <v>461</v>
      </c>
      <c r="E56" s="19"/>
      <c r="F56" s="9"/>
      <c r="G56" s="21">
        <f>Source!AO35</f>
        <v>77005.72</v>
      </c>
      <c r="H56" s="20" t="str">
        <f>Source!DG35</f>
        <v/>
      </c>
      <c r="I56" s="9">
        <f>Source!AV35</f>
        <v>1</v>
      </c>
      <c r="J56" s="9">
        <f>IF(Source!BA35&lt;&gt; 0, Source!BA35, 1)</f>
        <v>1</v>
      </c>
      <c r="K56" s="21">
        <f>Source!S35</f>
        <v>34652.57</v>
      </c>
      <c r="L56" s="21"/>
    </row>
    <row r="57" spans="1:22" ht="14.25" x14ac:dyDescent="0.2">
      <c r="A57" s="18"/>
      <c r="B57" s="18"/>
      <c r="C57" s="18"/>
      <c r="D57" s="18" t="s">
        <v>462</v>
      </c>
      <c r="E57" s="19"/>
      <c r="F57" s="9"/>
      <c r="G57" s="21">
        <f>Source!AM35</f>
        <v>61.83</v>
      </c>
      <c r="H57" s="20" t="str">
        <f>Source!DE35</f>
        <v/>
      </c>
      <c r="I57" s="9">
        <f>Source!AV35</f>
        <v>1</v>
      </c>
      <c r="J57" s="9">
        <f>IF(Source!BB35&lt;&gt; 0, Source!BB35, 1)</f>
        <v>1</v>
      </c>
      <c r="K57" s="21">
        <f>Source!Q35</f>
        <v>27.82</v>
      </c>
      <c r="L57" s="21"/>
    </row>
    <row r="58" spans="1:22" ht="14.25" x14ac:dyDescent="0.2">
      <c r="A58" s="18"/>
      <c r="B58" s="18"/>
      <c r="C58" s="18"/>
      <c r="D58" s="18" t="s">
        <v>463</v>
      </c>
      <c r="E58" s="19"/>
      <c r="F58" s="9"/>
      <c r="G58" s="21">
        <f>Source!AN35</f>
        <v>0.7</v>
      </c>
      <c r="H58" s="20" t="str">
        <f>Source!DF35</f>
        <v/>
      </c>
      <c r="I58" s="9">
        <f>Source!AV35</f>
        <v>1</v>
      </c>
      <c r="J58" s="9">
        <f>IF(Source!BS35&lt;&gt; 0, Source!BS35, 1)</f>
        <v>1</v>
      </c>
      <c r="K58" s="23">
        <f>Source!R35</f>
        <v>0.32</v>
      </c>
      <c r="L58" s="21"/>
    </row>
    <row r="59" spans="1:22" ht="14.25" x14ac:dyDescent="0.2">
      <c r="A59" s="18"/>
      <c r="B59" s="18"/>
      <c r="C59" s="18"/>
      <c r="D59" s="18" t="s">
        <v>464</v>
      </c>
      <c r="E59" s="19"/>
      <c r="F59" s="9"/>
      <c r="G59" s="21">
        <f>Source!AL35</f>
        <v>776.55</v>
      </c>
      <c r="H59" s="20" t="str">
        <f>Source!DD35</f>
        <v/>
      </c>
      <c r="I59" s="9">
        <f>Source!AW35</f>
        <v>1</v>
      </c>
      <c r="J59" s="9">
        <f>IF(Source!BC35&lt;&gt; 0, Source!BC35, 1)</f>
        <v>1</v>
      </c>
      <c r="K59" s="21">
        <f>Source!P35</f>
        <v>349.45</v>
      </c>
      <c r="L59" s="21"/>
    </row>
    <row r="60" spans="1:22" ht="14.25" x14ac:dyDescent="0.2">
      <c r="A60" s="18"/>
      <c r="B60" s="18"/>
      <c r="C60" s="18"/>
      <c r="D60" s="18" t="s">
        <v>465</v>
      </c>
      <c r="E60" s="19" t="s">
        <v>466</v>
      </c>
      <c r="F60" s="9">
        <f>Source!AT35</f>
        <v>70</v>
      </c>
      <c r="G60" s="21"/>
      <c r="H60" s="20"/>
      <c r="I60" s="9"/>
      <c r="J60" s="9"/>
      <c r="K60" s="21">
        <f>SUM(R54:R59)</f>
        <v>24256.799999999999</v>
      </c>
      <c r="L60" s="21"/>
    </row>
    <row r="61" spans="1:22" ht="14.25" x14ac:dyDescent="0.2">
      <c r="A61" s="18"/>
      <c r="B61" s="18"/>
      <c r="C61" s="18"/>
      <c r="D61" s="18" t="s">
        <v>467</v>
      </c>
      <c r="E61" s="19" t="s">
        <v>466</v>
      </c>
      <c r="F61" s="9">
        <f>Source!AU35</f>
        <v>10</v>
      </c>
      <c r="G61" s="21"/>
      <c r="H61" s="20"/>
      <c r="I61" s="9"/>
      <c r="J61" s="9"/>
      <c r="K61" s="21">
        <f>SUM(T54:T60)</f>
        <v>3465.26</v>
      </c>
      <c r="L61" s="21"/>
    </row>
    <row r="62" spans="1:22" ht="14.25" x14ac:dyDescent="0.2">
      <c r="A62" s="18"/>
      <c r="B62" s="18"/>
      <c r="C62" s="18"/>
      <c r="D62" s="18" t="s">
        <v>468</v>
      </c>
      <c r="E62" s="19" t="s">
        <v>466</v>
      </c>
      <c r="F62" s="9">
        <f>108</f>
        <v>108</v>
      </c>
      <c r="G62" s="21"/>
      <c r="H62" s="20"/>
      <c r="I62" s="9"/>
      <c r="J62" s="9"/>
      <c r="K62" s="21">
        <f>SUM(V54:V61)</f>
        <v>0.35</v>
      </c>
      <c r="L62" s="21"/>
    </row>
    <row r="63" spans="1:22" ht="14.25" x14ac:dyDescent="0.2">
      <c r="A63" s="18"/>
      <c r="B63" s="18"/>
      <c r="C63" s="18"/>
      <c r="D63" s="18" t="s">
        <v>469</v>
      </c>
      <c r="E63" s="19" t="s">
        <v>470</v>
      </c>
      <c r="F63" s="9">
        <f>Source!AQ35</f>
        <v>151.93</v>
      </c>
      <c r="G63" s="21"/>
      <c r="H63" s="20" t="str">
        <f>Source!DI35</f>
        <v/>
      </c>
      <c r="I63" s="9">
        <f>Source!AV35</f>
        <v>1</v>
      </c>
      <c r="J63" s="9"/>
      <c r="K63" s="21"/>
      <c r="L63" s="21">
        <f>Source!U35</f>
        <v>68.368500000000012</v>
      </c>
    </row>
    <row r="64" spans="1:22" ht="15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53">
        <f>K56+K57+K59+K60+K61+K62</f>
        <v>62752.25</v>
      </c>
      <c r="K64" s="53"/>
      <c r="L64" s="27">
        <f>IF(Source!I35&lt;&gt;0, ROUND(J64/Source!I35, 2), 0)</f>
        <v>139449.44</v>
      </c>
      <c r="P64" s="24">
        <f>J64</f>
        <v>62752.25</v>
      </c>
    </row>
    <row r="65" spans="1:22" ht="42.75" x14ac:dyDescent="0.2">
      <c r="A65" s="18">
        <v>3</v>
      </c>
      <c r="B65" s="18">
        <v>3</v>
      </c>
      <c r="C65" s="18" t="str">
        <f>Source!F37</f>
        <v>1.23-2103-41-1/1</v>
      </c>
      <c r="D65" s="18" t="str">
        <f>Source!G37</f>
        <v>Техническое обслуживание регулирующего клапана / Смеситель для раковины</v>
      </c>
      <c r="E65" s="19" t="str">
        <f>Source!H37</f>
        <v>шт.</v>
      </c>
      <c r="F65" s="9">
        <f>Source!I37</f>
        <v>45</v>
      </c>
      <c r="G65" s="21"/>
      <c r="H65" s="20"/>
      <c r="I65" s="9"/>
      <c r="J65" s="9"/>
      <c r="K65" s="21"/>
      <c r="L65" s="21"/>
      <c r="Q65">
        <f>ROUND((Source!BZ37/100)*ROUND((Source!AF37*Source!AV37)*Source!I37, 2), 2)</f>
        <v>6552</v>
      </c>
      <c r="R65">
        <f>Source!X37</f>
        <v>6552</v>
      </c>
      <c r="S65">
        <f>ROUND((Source!CA37/100)*ROUND((Source!AF37*Source!AV37)*Source!I37, 2), 2)</f>
        <v>936</v>
      </c>
      <c r="T65">
        <f>Source!Y37</f>
        <v>936</v>
      </c>
      <c r="U65">
        <f>ROUND((175/100)*ROUND((Source!AE37*Source!AV37)*Source!I37, 2), 2)</f>
        <v>3903.64</v>
      </c>
      <c r="V65">
        <f>ROUND((108/100)*ROUND(Source!CS37*Source!I37, 2), 2)</f>
        <v>2409.1</v>
      </c>
    </row>
    <row r="66" spans="1:22" x14ac:dyDescent="0.2">
      <c r="D66" s="22" t="str">
        <f>"Объем: "&amp;Source!I37&amp;"=(15)*"&amp;"3"</f>
        <v>Объем: 45=(15)*3</v>
      </c>
    </row>
    <row r="67" spans="1:22" ht="14.25" x14ac:dyDescent="0.2">
      <c r="A67" s="18"/>
      <c r="B67" s="18"/>
      <c r="C67" s="18"/>
      <c r="D67" s="18" t="s">
        <v>461</v>
      </c>
      <c r="E67" s="19"/>
      <c r="F67" s="9"/>
      <c r="G67" s="21">
        <f>Source!AO37</f>
        <v>208</v>
      </c>
      <c r="H67" s="20" t="str">
        <f>Source!DG37</f>
        <v/>
      </c>
      <c r="I67" s="9">
        <f>Source!AV37</f>
        <v>1</v>
      </c>
      <c r="J67" s="9">
        <f>IF(Source!BA37&lt;&gt; 0, Source!BA37, 1)</f>
        <v>1</v>
      </c>
      <c r="K67" s="21">
        <f>Source!S37</f>
        <v>9360</v>
      </c>
      <c r="L67" s="21"/>
    </row>
    <row r="68" spans="1:22" ht="14.25" x14ac:dyDescent="0.2">
      <c r="A68" s="18"/>
      <c r="B68" s="18"/>
      <c r="C68" s="18"/>
      <c r="D68" s="18" t="s">
        <v>462</v>
      </c>
      <c r="E68" s="19"/>
      <c r="F68" s="9"/>
      <c r="G68" s="21">
        <f>Source!AM37</f>
        <v>78.180000000000007</v>
      </c>
      <c r="H68" s="20" t="str">
        <f>Source!DE37</f>
        <v/>
      </c>
      <c r="I68" s="9">
        <f>Source!AV37</f>
        <v>1</v>
      </c>
      <c r="J68" s="9">
        <f>IF(Source!BB37&lt;&gt; 0, Source!BB37, 1)</f>
        <v>1</v>
      </c>
      <c r="K68" s="21">
        <f>Source!Q37</f>
        <v>3518.1</v>
      </c>
      <c r="L68" s="21"/>
    </row>
    <row r="69" spans="1:22" ht="14.25" x14ac:dyDescent="0.2">
      <c r="A69" s="18"/>
      <c r="B69" s="18"/>
      <c r="C69" s="18"/>
      <c r="D69" s="18" t="s">
        <v>463</v>
      </c>
      <c r="E69" s="19"/>
      <c r="F69" s="9"/>
      <c r="G69" s="21">
        <f>Source!AN37</f>
        <v>49.57</v>
      </c>
      <c r="H69" s="20" t="str">
        <f>Source!DF37</f>
        <v/>
      </c>
      <c r="I69" s="9">
        <f>Source!AV37</f>
        <v>1</v>
      </c>
      <c r="J69" s="9">
        <f>IF(Source!BS37&lt;&gt; 0, Source!BS37, 1)</f>
        <v>1</v>
      </c>
      <c r="K69" s="23">
        <f>Source!R37</f>
        <v>2230.65</v>
      </c>
      <c r="L69" s="21"/>
    </row>
    <row r="70" spans="1:22" ht="14.25" x14ac:dyDescent="0.2">
      <c r="A70" s="18"/>
      <c r="B70" s="18"/>
      <c r="C70" s="18"/>
      <c r="D70" s="18" t="s">
        <v>465</v>
      </c>
      <c r="E70" s="19" t="s">
        <v>466</v>
      </c>
      <c r="F70" s="9">
        <f>Source!AT37</f>
        <v>70</v>
      </c>
      <c r="G70" s="21"/>
      <c r="H70" s="20"/>
      <c r="I70" s="9"/>
      <c r="J70" s="9"/>
      <c r="K70" s="21">
        <f>SUM(R65:R69)</f>
        <v>6552</v>
      </c>
      <c r="L70" s="21"/>
    </row>
    <row r="71" spans="1:22" ht="14.25" x14ac:dyDescent="0.2">
      <c r="A71" s="18"/>
      <c r="B71" s="18"/>
      <c r="C71" s="18"/>
      <c r="D71" s="18" t="s">
        <v>467</v>
      </c>
      <c r="E71" s="19" t="s">
        <v>466</v>
      </c>
      <c r="F71" s="9">
        <f>Source!AU37</f>
        <v>10</v>
      </c>
      <c r="G71" s="21"/>
      <c r="H71" s="20"/>
      <c r="I71" s="9"/>
      <c r="J71" s="9"/>
      <c r="K71" s="21">
        <f>SUM(T65:T70)</f>
        <v>936</v>
      </c>
      <c r="L71" s="21"/>
    </row>
    <row r="72" spans="1:22" ht="14.25" x14ac:dyDescent="0.2">
      <c r="A72" s="18"/>
      <c r="B72" s="18"/>
      <c r="C72" s="18"/>
      <c r="D72" s="18" t="s">
        <v>468</v>
      </c>
      <c r="E72" s="19" t="s">
        <v>466</v>
      </c>
      <c r="F72" s="9">
        <f>108</f>
        <v>108</v>
      </c>
      <c r="G72" s="21"/>
      <c r="H72" s="20"/>
      <c r="I72" s="9"/>
      <c r="J72" s="9"/>
      <c r="K72" s="21">
        <f>SUM(V65:V71)</f>
        <v>2409.1</v>
      </c>
      <c r="L72" s="21"/>
    </row>
    <row r="73" spans="1:22" ht="14.25" x14ac:dyDescent="0.2">
      <c r="A73" s="18"/>
      <c r="B73" s="18"/>
      <c r="C73" s="18"/>
      <c r="D73" s="18" t="s">
        <v>469</v>
      </c>
      <c r="E73" s="19" t="s">
        <v>470</v>
      </c>
      <c r="F73" s="9">
        <f>Source!AQ37</f>
        <v>0.37</v>
      </c>
      <c r="G73" s="21"/>
      <c r="H73" s="20" t="str">
        <f>Source!DI37</f>
        <v/>
      </c>
      <c r="I73" s="9">
        <f>Source!AV37</f>
        <v>1</v>
      </c>
      <c r="J73" s="9"/>
      <c r="K73" s="21"/>
      <c r="L73" s="21">
        <f>Source!U37</f>
        <v>16.649999999999999</v>
      </c>
    </row>
    <row r="74" spans="1:22" ht="15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53">
        <f>K67+K68+K70+K71+K72</f>
        <v>22775.199999999997</v>
      </c>
      <c r="K74" s="53"/>
      <c r="L74" s="27">
        <f>IF(Source!I37&lt;&gt;0, ROUND(J74/Source!I37, 2), 0)</f>
        <v>506.12</v>
      </c>
      <c r="P74" s="24">
        <f>J74</f>
        <v>22775.199999999997</v>
      </c>
    </row>
    <row r="75" spans="1:22" ht="28.5" x14ac:dyDescent="0.2">
      <c r="A75" s="18">
        <v>4</v>
      </c>
      <c r="B75" s="18">
        <v>4</v>
      </c>
      <c r="C75" s="18" t="str">
        <f>Source!F38</f>
        <v>1.16-3201-1-1/1</v>
      </c>
      <c r="D75" s="18" t="str">
        <f>Source!G38</f>
        <v>Регулировка смывного бачка</v>
      </c>
      <c r="E75" s="19" t="str">
        <f>Source!H38</f>
        <v>100 приборов</v>
      </c>
      <c r="F75" s="9">
        <f>Source!I38</f>
        <v>0.45</v>
      </c>
      <c r="G75" s="21"/>
      <c r="H75" s="20"/>
      <c r="I75" s="9"/>
      <c r="J75" s="9"/>
      <c r="K75" s="21"/>
      <c r="L75" s="21"/>
      <c r="Q75">
        <f>ROUND((Source!BZ38/100)*ROUND((Source!AF38*Source!AV38)*Source!I38, 2), 2)</f>
        <v>5007.28</v>
      </c>
      <c r="R75">
        <f>Source!X38</f>
        <v>5007.28</v>
      </c>
      <c r="S75">
        <f>ROUND((Source!CA38/100)*ROUND((Source!AF38*Source!AV38)*Source!I38, 2), 2)</f>
        <v>715.33</v>
      </c>
      <c r="T75">
        <f>Source!Y38</f>
        <v>715.33</v>
      </c>
      <c r="U75">
        <f>ROUND((175/100)*ROUND((Source!AE38*Source!AV38)*Source!I38, 2), 2)</f>
        <v>0</v>
      </c>
      <c r="V75">
        <f>ROUND((108/100)*ROUND(Source!CS38*Source!I38, 2), 2)</f>
        <v>0</v>
      </c>
    </row>
    <row r="76" spans="1:22" x14ac:dyDescent="0.2">
      <c r="D76" s="22" t="str">
        <f>"Объем: "&amp;Source!I38&amp;"=15*"&amp;"3/"&amp;"100"</f>
        <v>Объем: 0,45=15*3/100</v>
      </c>
    </row>
    <row r="77" spans="1:22" ht="14.25" x14ac:dyDescent="0.2">
      <c r="A77" s="18"/>
      <c r="B77" s="18"/>
      <c r="C77" s="18"/>
      <c r="D77" s="18" t="s">
        <v>461</v>
      </c>
      <c r="E77" s="19"/>
      <c r="F77" s="9"/>
      <c r="G77" s="21">
        <f>Source!AO38</f>
        <v>15896.11</v>
      </c>
      <c r="H77" s="20" t="str">
        <f>Source!DG38</f>
        <v/>
      </c>
      <c r="I77" s="9">
        <f>Source!AV38</f>
        <v>1</v>
      </c>
      <c r="J77" s="9">
        <f>IF(Source!BA38&lt;&gt; 0, Source!BA38, 1)</f>
        <v>1</v>
      </c>
      <c r="K77" s="21">
        <f>Source!S38</f>
        <v>7153.25</v>
      </c>
      <c r="L77" s="21"/>
    </row>
    <row r="78" spans="1:22" ht="14.25" x14ac:dyDescent="0.2">
      <c r="A78" s="18"/>
      <c r="B78" s="18"/>
      <c r="C78" s="18"/>
      <c r="D78" s="18" t="s">
        <v>465</v>
      </c>
      <c r="E78" s="19" t="s">
        <v>466</v>
      </c>
      <c r="F78" s="9">
        <f>Source!AT38</f>
        <v>70</v>
      </c>
      <c r="G78" s="21"/>
      <c r="H78" s="20"/>
      <c r="I78" s="9"/>
      <c r="J78" s="9"/>
      <c r="K78" s="21">
        <f>SUM(R75:R77)</f>
        <v>5007.28</v>
      </c>
      <c r="L78" s="21"/>
    </row>
    <row r="79" spans="1:22" ht="14.25" x14ac:dyDescent="0.2">
      <c r="A79" s="18"/>
      <c r="B79" s="18"/>
      <c r="C79" s="18"/>
      <c r="D79" s="18" t="s">
        <v>467</v>
      </c>
      <c r="E79" s="19" t="s">
        <v>466</v>
      </c>
      <c r="F79" s="9">
        <f>Source!AU38</f>
        <v>10</v>
      </c>
      <c r="G79" s="21"/>
      <c r="H79" s="20"/>
      <c r="I79" s="9"/>
      <c r="J79" s="9"/>
      <c r="K79" s="21">
        <f>SUM(T75:T78)</f>
        <v>715.33</v>
      </c>
      <c r="L79" s="21"/>
    </row>
    <row r="80" spans="1:22" ht="14.25" x14ac:dyDescent="0.2">
      <c r="A80" s="18"/>
      <c r="B80" s="18"/>
      <c r="C80" s="18"/>
      <c r="D80" s="18" t="s">
        <v>469</v>
      </c>
      <c r="E80" s="19" t="s">
        <v>470</v>
      </c>
      <c r="F80" s="9">
        <f>Source!AQ38</f>
        <v>26.7</v>
      </c>
      <c r="G80" s="21"/>
      <c r="H80" s="20" t="str">
        <f>Source!DI38</f>
        <v/>
      </c>
      <c r="I80" s="9">
        <f>Source!AV38</f>
        <v>1</v>
      </c>
      <c r="J80" s="9"/>
      <c r="K80" s="21"/>
      <c r="L80" s="21">
        <f>Source!U38</f>
        <v>12.015000000000001</v>
      </c>
    </row>
    <row r="81" spans="1:22" ht="15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53">
        <f>K77+K78+K79</f>
        <v>12875.859999999999</v>
      </c>
      <c r="K81" s="53"/>
      <c r="L81" s="27">
        <f>IF(Source!I38&lt;&gt;0, ROUND(J81/Source!I38, 2), 0)</f>
        <v>28613.02</v>
      </c>
      <c r="P81" s="24">
        <f>J81</f>
        <v>12875.859999999999</v>
      </c>
    </row>
    <row r="82" spans="1:22" ht="14.25" x14ac:dyDescent="0.2">
      <c r="A82" s="18">
        <v>5</v>
      </c>
      <c r="B82" s="18">
        <v>5</v>
      </c>
      <c r="C82" s="18" t="str">
        <f>Source!F39</f>
        <v>1.16-2203-1-1/1</v>
      </c>
      <c r="D82" s="18" t="str">
        <f>Source!G39</f>
        <v>Прочистка сифонов</v>
      </c>
      <c r="E82" s="19" t="str">
        <f>Source!H39</f>
        <v>100 шт.</v>
      </c>
      <c r="F82" s="9">
        <f>Source!I39</f>
        <v>0.45</v>
      </c>
      <c r="G82" s="21"/>
      <c r="H82" s="20"/>
      <c r="I82" s="9"/>
      <c r="J82" s="9"/>
      <c r="K82" s="21"/>
      <c r="L82" s="21"/>
      <c r="Q82">
        <f>ROUND((Source!BZ39/100)*ROUND((Source!AF39*Source!AV39)*Source!I39, 2), 2)</f>
        <v>4473.6099999999997</v>
      </c>
      <c r="R82">
        <f>Source!X39</f>
        <v>4473.6099999999997</v>
      </c>
      <c r="S82">
        <f>ROUND((Source!CA39/100)*ROUND((Source!AF39*Source!AV39)*Source!I39, 2), 2)</f>
        <v>639.09</v>
      </c>
      <c r="T82">
        <f>Source!Y39</f>
        <v>639.09</v>
      </c>
      <c r="U82">
        <f>ROUND((175/100)*ROUND((Source!AE39*Source!AV39)*Source!I39, 2), 2)</f>
        <v>0</v>
      </c>
      <c r="V82">
        <f>ROUND((108/100)*ROUND(Source!CS39*Source!I39, 2), 2)</f>
        <v>0</v>
      </c>
    </row>
    <row r="83" spans="1:22" x14ac:dyDescent="0.2">
      <c r="D83" s="22" t="str">
        <f>"Объем: "&amp;Source!I39&amp;"=(15)*"&amp;"3/"&amp;"100"</f>
        <v>Объем: 0,45=(15)*3/100</v>
      </c>
    </row>
    <row r="84" spans="1:22" ht="14.25" x14ac:dyDescent="0.2">
      <c r="A84" s="18"/>
      <c r="B84" s="18"/>
      <c r="C84" s="18"/>
      <c r="D84" s="18" t="s">
        <v>461</v>
      </c>
      <c r="E84" s="19"/>
      <c r="F84" s="9"/>
      <c r="G84" s="21">
        <f>Source!AO39</f>
        <v>14201.94</v>
      </c>
      <c r="H84" s="20" t="str">
        <f>Source!DG39</f>
        <v/>
      </c>
      <c r="I84" s="9">
        <f>Source!AV39</f>
        <v>1</v>
      </c>
      <c r="J84" s="9">
        <f>IF(Source!BA39&lt;&gt; 0, Source!BA39, 1)</f>
        <v>1</v>
      </c>
      <c r="K84" s="21">
        <f>Source!S39</f>
        <v>6390.87</v>
      </c>
      <c r="L84" s="21"/>
    </row>
    <row r="85" spans="1:22" ht="14.25" x14ac:dyDescent="0.2">
      <c r="A85" s="18"/>
      <c r="B85" s="18"/>
      <c r="C85" s="18"/>
      <c r="D85" s="18" t="s">
        <v>464</v>
      </c>
      <c r="E85" s="19"/>
      <c r="F85" s="9"/>
      <c r="G85" s="21">
        <f>Source!AL39</f>
        <v>243.57</v>
      </c>
      <c r="H85" s="20" t="str">
        <f>Source!DD39</f>
        <v/>
      </c>
      <c r="I85" s="9">
        <f>Source!AW39</f>
        <v>1</v>
      </c>
      <c r="J85" s="9">
        <f>IF(Source!BC39&lt;&gt; 0, Source!BC39, 1)</f>
        <v>1</v>
      </c>
      <c r="K85" s="21">
        <f>Source!P39</f>
        <v>109.61</v>
      </c>
      <c r="L85" s="21"/>
    </row>
    <row r="86" spans="1:22" ht="14.25" x14ac:dyDescent="0.2">
      <c r="A86" s="18"/>
      <c r="B86" s="18"/>
      <c r="C86" s="18"/>
      <c r="D86" s="18" t="s">
        <v>465</v>
      </c>
      <c r="E86" s="19" t="s">
        <v>466</v>
      </c>
      <c r="F86" s="9">
        <f>Source!AT39</f>
        <v>70</v>
      </c>
      <c r="G86" s="21"/>
      <c r="H86" s="20"/>
      <c r="I86" s="9"/>
      <c r="J86" s="9"/>
      <c r="K86" s="21">
        <f>SUM(R82:R85)</f>
        <v>4473.6099999999997</v>
      </c>
      <c r="L86" s="21"/>
    </row>
    <row r="87" spans="1:22" ht="14.25" x14ac:dyDescent="0.2">
      <c r="A87" s="18"/>
      <c r="B87" s="18"/>
      <c r="C87" s="18"/>
      <c r="D87" s="18" t="s">
        <v>467</v>
      </c>
      <c r="E87" s="19" t="s">
        <v>466</v>
      </c>
      <c r="F87" s="9">
        <f>Source!AU39</f>
        <v>10</v>
      </c>
      <c r="G87" s="21"/>
      <c r="H87" s="20"/>
      <c r="I87" s="9"/>
      <c r="J87" s="9"/>
      <c r="K87" s="21">
        <f>SUM(T82:T86)</f>
        <v>639.09</v>
      </c>
      <c r="L87" s="21"/>
    </row>
    <row r="88" spans="1:22" ht="14.25" x14ac:dyDescent="0.2">
      <c r="A88" s="18"/>
      <c r="B88" s="18"/>
      <c r="C88" s="18"/>
      <c r="D88" s="18" t="s">
        <v>469</v>
      </c>
      <c r="E88" s="19" t="s">
        <v>470</v>
      </c>
      <c r="F88" s="9">
        <f>Source!AQ39</f>
        <v>28.02</v>
      </c>
      <c r="G88" s="21"/>
      <c r="H88" s="20" t="str">
        <f>Source!DI39</f>
        <v/>
      </c>
      <c r="I88" s="9">
        <f>Source!AV39</f>
        <v>1</v>
      </c>
      <c r="J88" s="9"/>
      <c r="K88" s="21"/>
      <c r="L88" s="21">
        <f>Source!U39</f>
        <v>12.609</v>
      </c>
    </row>
    <row r="89" spans="1:22" ht="15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53">
        <f>K84+K85+K86+K87</f>
        <v>11613.18</v>
      </c>
      <c r="K89" s="53"/>
      <c r="L89" s="27">
        <f>IF(Source!I39&lt;&gt;0, ROUND(J89/Source!I39, 2), 0)</f>
        <v>25807.07</v>
      </c>
      <c r="P89" s="24">
        <f>J89</f>
        <v>11613.18</v>
      </c>
    </row>
    <row r="90" spans="1:22" ht="28.5" x14ac:dyDescent="0.2">
      <c r="A90" s="18">
        <v>6</v>
      </c>
      <c r="B90" s="18">
        <v>6</v>
      </c>
      <c r="C90" s="18" t="str">
        <f>Source!F42</f>
        <v>1.15-2303-4-1/1</v>
      </c>
      <c r="D90" s="18" t="str">
        <f>Source!G42</f>
        <v>Прочистка сетчатых фильтров грубой очистки воды диаметром до 25 мм</v>
      </c>
      <c r="E90" s="19" t="str">
        <f>Source!H42</f>
        <v>10 шт.</v>
      </c>
      <c r="F90" s="9">
        <f>Source!I42</f>
        <v>1.5</v>
      </c>
      <c r="G90" s="21"/>
      <c r="H90" s="20"/>
      <c r="I90" s="9"/>
      <c r="J90" s="9"/>
      <c r="K90" s="21"/>
      <c r="L90" s="21"/>
      <c r="Q90">
        <f>ROUND((Source!BZ42/100)*ROUND((Source!AF42*Source!AV42)*Source!I42, 2), 2)</f>
        <v>1322.66</v>
      </c>
      <c r="R90">
        <f>Source!X42</f>
        <v>1322.66</v>
      </c>
      <c r="S90">
        <f>ROUND((Source!CA42/100)*ROUND((Source!AF42*Source!AV42)*Source!I42, 2), 2)</f>
        <v>188.95</v>
      </c>
      <c r="T90">
        <f>Source!Y42</f>
        <v>188.95</v>
      </c>
      <c r="U90">
        <f>ROUND((175/100)*ROUND((Source!AE42*Source!AV42)*Source!I42, 2), 2)</f>
        <v>0</v>
      </c>
      <c r="V90">
        <f>ROUND((108/100)*ROUND(Source!CS42*Source!I42, 2), 2)</f>
        <v>0</v>
      </c>
    </row>
    <row r="91" spans="1:22" x14ac:dyDescent="0.2">
      <c r="D91" s="22" t="str">
        <f>"Объем: "&amp;Source!I42&amp;"=15/"&amp;"10"</f>
        <v>Объем: 1,5=15/10</v>
      </c>
    </row>
    <row r="92" spans="1:22" ht="14.25" x14ac:dyDescent="0.2">
      <c r="A92" s="18"/>
      <c r="B92" s="18"/>
      <c r="C92" s="18"/>
      <c r="D92" s="18" t="s">
        <v>461</v>
      </c>
      <c r="E92" s="19"/>
      <c r="F92" s="9"/>
      <c r="G92" s="21">
        <f>Source!AO42</f>
        <v>1259.68</v>
      </c>
      <c r="H92" s="20" t="str">
        <f>Source!DG42</f>
        <v/>
      </c>
      <c r="I92" s="9">
        <f>Source!AV42</f>
        <v>1</v>
      </c>
      <c r="J92" s="9">
        <f>IF(Source!BA42&lt;&gt; 0, Source!BA42, 1)</f>
        <v>1</v>
      </c>
      <c r="K92" s="21">
        <f>Source!S42</f>
        <v>1889.52</v>
      </c>
      <c r="L92" s="21"/>
    </row>
    <row r="93" spans="1:22" ht="14.25" x14ac:dyDescent="0.2">
      <c r="A93" s="18"/>
      <c r="B93" s="18"/>
      <c r="C93" s="18"/>
      <c r="D93" s="18" t="s">
        <v>465</v>
      </c>
      <c r="E93" s="19" t="s">
        <v>466</v>
      </c>
      <c r="F93" s="9">
        <f>Source!AT42</f>
        <v>70</v>
      </c>
      <c r="G93" s="21"/>
      <c r="H93" s="20"/>
      <c r="I93" s="9"/>
      <c r="J93" s="9"/>
      <c r="K93" s="21">
        <f>SUM(R90:R92)</f>
        <v>1322.66</v>
      </c>
      <c r="L93" s="21"/>
    </row>
    <row r="94" spans="1:22" ht="14.25" x14ac:dyDescent="0.2">
      <c r="A94" s="18"/>
      <c r="B94" s="18"/>
      <c r="C94" s="18"/>
      <c r="D94" s="18" t="s">
        <v>467</v>
      </c>
      <c r="E94" s="19" t="s">
        <v>466</v>
      </c>
      <c r="F94" s="9">
        <f>Source!AU42</f>
        <v>10</v>
      </c>
      <c r="G94" s="21"/>
      <c r="H94" s="20"/>
      <c r="I94" s="9"/>
      <c r="J94" s="9"/>
      <c r="K94" s="21">
        <f>SUM(T90:T93)</f>
        <v>188.95</v>
      </c>
      <c r="L94" s="21"/>
    </row>
    <row r="95" spans="1:22" ht="14.25" x14ac:dyDescent="0.2">
      <c r="A95" s="18"/>
      <c r="B95" s="18"/>
      <c r="C95" s="18"/>
      <c r="D95" s="18" t="s">
        <v>469</v>
      </c>
      <c r="E95" s="19" t="s">
        <v>470</v>
      </c>
      <c r="F95" s="9">
        <f>Source!AQ42</f>
        <v>2.04</v>
      </c>
      <c r="G95" s="21"/>
      <c r="H95" s="20" t="str">
        <f>Source!DI42</f>
        <v/>
      </c>
      <c r="I95" s="9">
        <f>Source!AV42</f>
        <v>1</v>
      </c>
      <c r="J95" s="9"/>
      <c r="K95" s="21"/>
      <c r="L95" s="21">
        <f>Source!U42</f>
        <v>3.06</v>
      </c>
    </row>
    <row r="96" spans="1:22" ht="15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53">
        <f>K92+K93+K94</f>
        <v>3401.13</v>
      </c>
      <c r="K96" s="53"/>
      <c r="L96" s="27">
        <f>IF(Source!I42&lt;&gt;0, ROUND(J96/Source!I42, 2), 0)</f>
        <v>2267.42</v>
      </c>
      <c r="P96" s="24">
        <f>J96</f>
        <v>3401.13</v>
      </c>
    </row>
    <row r="97" spans="1:22" ht="57" x14ac:dyDescent="0.2">
      <c r="A97" s="18">
        <v>7</v>
      </c>
      <c r="B97" s="18">
        <v>7</v>
      </c>
      <c r="C97" s="18" t="str">
        <f>Source!F45</f>
        <v>1.23-2103-41-1/1</v>
      </c>
      <c r="D97" s="18" t="str">
        <f>Source!G45</f>
        <v>Техническое обслуживание регулирующего клапана / Кран шаровой ПВХ 1/2 для подключения гибкой подводки</v>
      </c>
      <c r="E97" s="19" t="str">
        <f>Source!H45</f>
        <v>шт.</v>
      </c>
      <c r="F97" s="9">
        <f>Source!I45</f>
        <v>45</v>
      </c>
      <c r="G97" s="21"/>
      <c r="H97" s="20"/>
      <c r="I97" s="9"/>
      <c r="J97" s="9"/>
      <c r="K97" s="21"/>
      <c r="L97" s="21"/>
      <c r="Q97">
        <f>ROUND((Source!BZ45/100)*ROUND((Source!AF45*Source!AV45)*Source!I45, 2), 2)</f>
        <v>6552</v>
      </c>
      <c r="R97">
        <f>Source!X45</f>
        <v>6552</v>
      </c>
      <c r="S97">
        <f>ROUND((Source!CA45/100)*ROUND((Source!AF45*Source!AV45)*Source!I45, 2), 2)</f>
        <v>936</v>
      </c>
      <c r="T97">
        <f>Source!Y45</f>
        <v>936</v>
      </c>
      <c r="U97">
        <f>ROUND((175/100)*ROUND((Source!AE45*Source!AV45)*Source!I45, 2), 2)</f>
        <v>3903.64</v>
      </c>
      <c r="V97">
        <f>ROUND((108/100)*ROUND(Source!CS45*Source!I45, 2), 2)</f>
        <v>2409.1</v>
      </c>
    </row>
    <row r="98" spans="1:22" x14ac:dyDescent="0.2">
      <c r="D98" s="22" t="str">
        <f>"Объем: "&amp;Source!I45&amp;"=3*"&amp;"15"</f>
        <v>Объем: 45=3*15</v>
      </c>
    </row>
    <row r="99" spans="1:22" ht="14.25" x14ac:dyDescent="0.2">
      <c r="A99" s="18"/>
      <c r="B99" s="18"/>
      <c r="C99" s="18"/>
      <c r="D99" s="18" t="s">
        <v>461</v>
      </c>
      <c r="E99" s="19"/>
      <c r="F99" s="9"/>
      <c r="G99" s="21">
        <f>Source!AO45</f>
        <v>208</v>
      </c>
      <c r="H99" s="20" t="str">
        <f>Source!DG45</f>
        <v/>
      </c>
      <c r="I99" s="9">
        <f>Source!AV45</f>
        <v>1</v>
      </c>
      <c r="J99" s="9">
        <f>IF(Source!BA45&lt;&gt; 0, Source!BA45, 1)</f>
        <v>1</v>
      </c>
      <c r="K99" s="21">
        <f>Source!S45</f>
        <v>9360</v>
      </c>
      <c r="L99" s="21"/>
    </row>
    <row r="100" spans="1:22" ht="14.25" x14ac:dyDescent="0.2">
      <c r="A100" s="18"/>
      <c r="B100" s="18"/>
      <c r="C100" s="18"/>
      <c r="D100" s="18" t="s">
        <v>462</v>
      </c>
      <c r="E100" s="19"/>
      <c r="F100" s="9"/>
      <c r="G100" s="21">
        <f>Source!AM45</f>
        <v>78.180000000000007</v>
      </c>
      <c r="H100" s="20" t="str">
        <f>Source!DE45</f>
        <v/>
      </c>
      <c r="I100" s="9">
        <f>Source!AV45</f>
        <v>1</v>
      </c>
      <c r="J100" s="9">
        <f>IF(Source!BB45&lt;&gt; 0, Source!BB45, 1)</f>
        <v>1</v>
      </c>
      <c r="K100" s="21">
        <f>Source!Q45</f>
        <v>3518.1</v>
      </c>
      <c r="L100" s="21"/>
    </row>
    <row r="101" spans="1:22" ht="14.25" x14ac:dyDescent="0.2">
      <c r="A101" s="18"/>
      <c r="B101" s="18"/>
      <c r="C101" s="18"/>
      <c r="D101" s="18" t="s">
        <v>463</v>
      </c>
      <c r="E101" s="19"/>
      <c r="F101" s="9"/>
      <c r="G101" s="21">
        <f>Source!AN45</f>
        <v>49.57</v>
      </c>
      <c r="H101" s="20" t="str">
        <f>Source!DF45</f>
        <v/>
      </c>
      <c r="I101" s="9">
        <f>Source!AV45</f>
        <v>1</v>
      </c>
      <c r="J101" s="9">
        <f>IF(Source!BS45&lt;&gt; 0, Source!BS45, 1)</f>
        <v>1</v>
      </c>
      <c r="K101" s="23">
        <f>Source!R45</f>
        <v>2230.65</v>
      </c>
      <c r="L101" s="21"/>
    </row>
    <row r="102" spans="1:22" ht="14.25" x14ac:dyDescent="0.2">
      <c r="A102" s="18"/>
      <c r="B102" s="18"/>
      <c r="C102" s="18"/>
      <c r="D102" s="18" t="s">
        <v>465</v>
      </c>
      <c r="E102" s="19" t="s">
        <v>466</v>
      </c>
      <c r="F102" s="9">
        <f>Source!AT45</f>
        <v>70</v>
      </c>
      <c r="G102" s="21"/>
      <c r="H102" s="20"/>
      <c r="I102" s="9"/>
      <c r="J102" s="9"/>
      <c r="K102" s="21">
        <f>SUM(R97:R101)</f>
        <v>6552</v>
      </c>
      <c r="L102" s="21"/>
    </row>
    <row r="103" spans="1:22" ht="14.25" x14ac:dyDescent="0.2">
      <c r="A103" s="18"/>
      <c r="B103" s="18"/>
      <c r="C103" s="18"/>
      <c r="D103" s="18" t="s">
        <v>467</v>
      </c>
      <c r="E103" s="19" t="s">
        <v>466</v>
      </c>
      <c r="F103" s="9">
        <f>Source!AU45</f>
        <v>10</v>
      </c>
      <c r="G103" s="21"/>
      <c r="H103" s="20"/>
      <c r="I103" s="9"/>
      <c r="J103" s="9"/>
      <c r="K103" s="21">
        <f>SUM(T97:T102)</f>
        <v>936</v>
      </c>
      <c r="L103" s="21"/>
    </row>
    <row r="104" spans="1:22" ht="14.25" x14ac:dyDescent="0.2">
      <c r="A104" s="18"/>
      <c r="B104" s="18"/>
      <c r="C104" s="18"/>
      <c r="D104" s="18" t="s">
        <v>468</v>
      </c>
      <c r="E104" s="19" t="s">
        <v>466</v>
      </c>
      <c r="F104" s="9">
        <f>108</f>
        <v>108</v>
      </c>
      <c r="G104" s="21"/>
      <c r="H104" s="20"/>
      <c r="I104" s="9"/>
      <c r="J104" s="9"/>
      <c r="K104" s="21">
        <f>SUM(V97:V103)</f>
        <v>2409.1</v>
      </c>
      <c r="L104" s="21"/>
    </row>
    <row r="105" spans="1:22" ht="14.25" x14ac:dyDescent="0.2">
      <c r="A105" s="18"/>
      <c r="B105" s="18"/>
      <c r="C105" s="18"/>
      <c r="D105" s="18" t="s">
        <v>469</v>
      </c>
      <c r="E105" s="19" t="s">
        <v>470</v>
      </c>
      <c r="F105" s="9">
        <f>Source!AQ45</f>
        <v>0.37</v>
      </c>
      <c r="G105" s="21"/>
      <c r="H105" s="20" t="str">
        <f>Source!DI45</f>
        <v/>
      </c>
      <c r="I105" s="9">
        <f>Source!AV45</f>
        <v>1</v>
      </c>
      <c r="J105" s="9"/>
      <c r="K105" s="21"/>
      <c r="L105" s="21">
        <f>Source!U45</f>
        <v>16.649999999999999</v>
      </c>
    </row>
    <row r="106" spans="1:22" ht="15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53">
        <f>K99+K100+K102+K103+K104</f>
        <v>22775.199999999997</v>
      </c>
      <c r="K106" s="53"/>
      <c r="L106" s="27">
        <f>IF(Source!I45&lt;&gt;0, ROUND(J106/Source!I45, 2), 0)</f>
        <v>506.12</v>
      </c>
      <c r="P106" s="24">
        <f>J106</f>
        <v>22775.199999999997</v>
      </c>
    </row>
    <row r="107" spans="1:22" ht="42.75" x14ac:dyDescent="0.2">
      <c r="A107" s="18">
        <v>8</v>
      </c>
      <c r="B107" s="18">
        <v>8</v>
      </c>
      <c r="C107" s="18" t="str">
        <f>Source!F46</f>
        <v>1.15-2203-7-2/1</v>
      </c>
      <c r="D107" s="18" t="str">
        <f>Source!G46</f>
        <v>Техническое обслуживание крана шарового латунного никелированного диаметром до 50 мм</v>
      </c>
      <c r="E107" s="19" t="str">
        <f>Source!H46</f>
        <v>10 шт.</v>
      </c>
      <c r="F107" s="9">
        <f>Source!I46</f>
        <v>1.5</v>
      </c>
      <c r="G107" s="21"/>
      <c r="H107" s="20"/>
      <c r="I107" s="9"/>
      <c r="J107" s="9"/>
      <c r="K107" s="21"/>
      <c r="L107" s="21"/>
      <c r="Q107">
        <f>ROUND((Source!BZ46/100)*ROUND((Source!AF46*Source!AV46)*Source!I46, 2), 2)</f>
        <v>395.51</v>
      </c>
      <c r="R107">
        <f>Source!X46</f>
        <v>395.51</v>
      </c>
      <c r="S107">
        <f>ROUND((Source!CA46/100)*ROUND((Source!AF46*Source!AV46)*Source!I46, 2), 2)</f>
        <v>56.5</v>
      </c>
      <c r="T107">
        <f>Source!Y46</f>
        <v>56.5</v>
      </c>
      <c r="U107">
        <f>ROUND((175/100)*ROUND((Source!AE46*Source!AV46)*Source!I46, 2), 2)</f>
        <v>0</v>
      </c>
      <c r="V107">
        <f>ROUND((108/100)*ROUND(Source!CS46*Source!I46, 2), 2)</f>
        <v>0</v>
      </c>
    </row>
    <row r="108" spans="1:22" x14ac:dyDescent="0.2">
      <c r="D108" s="22" t="str">
        <f>"Объем: "&amp;Source!I46&amp;"=15/"&amp;"10"</f>
        <v>Объем: 1,5=15/10</v>
      </c>
    </row>
    <row r="109" spans="1:22" ht="14.25" x14ac:dyDescent="0.2">
      <c r="A109" s="18"/>
      <c r="B109" s="18"/>
      <c r="C109" s="18"/>
      <c r="D109" s="18" t="s">
        <v>461</v>
      </c>
      <c r="E109" s="19"/>
      <c r="F109" s="9"/>
      <c r="G109" s="21">
        <f>Source!AO46</f>
        <v>376.67</v>
      </c>
      <c r="H109" s="20" t="str">
        <f>Source!DG46</f>
        <v/>
      </c>
      <c r="I109" s="9">
        <f>Source!AV46</f>
        <v>1</v>
      </c>
      <c r="J109" s="9">
        <f>IF(Source!BA46&lt;&gt; 0, Source!BA46, 1)</f>
        <v>1</v>
      </c>
      <c r="K109" s="21">
        <f>Source!S46</f>
        <v>565.01</v>
      </c>
      <c r="L109" s="21"/>
    </row>
    <row r="110" spans="1:22" ht="14.25" x14ac:dyDescent="0.2">
      <c r="A110" s="18"/>
      <c r="B110" s="18"/>
      <c r="C110" s="18"/>
      <c r="D110" s="18" t="s">
        <v>465</v>
      </c>
      <c r="E110" s="19" t="s">
        <v>466</v>
      </c>
      <c r="F110" s="9">
        <f>Source!AT46</f>
        <v>70</v>
      </c>
      <c r="G110" s="21"/>
      <c r="H110" s="20"/>
      <c r="I110" s="9"/>
      <c r="J110" s="9"/>
      <c r="K110" s="21">
        <f>SUM(R107:R109)</f>
        <v>395.51</v>
      </c>
      <c r="L110" s="21"/>
    </row>
    <row r="111" spans="1:22" ht="14.25" x14ac:dyDescent="0.2">
      <c r="A111" s="18"/>
      <c r="B111" s="18"/>
      <c r="C111" s="18"/>
      <c r="D111" s="18" t="s">
        <v>467</v>
      </c>
      <c r="E111" s="19" t="s">
        <v>466</v>
      </c>
      <c r="F111" s="9">
        <f>Source!AU46</f>
        <v>10</v>
      </c>
      <c r="G111" s="21"/>
      <c r="H111" s="20"/>
      <c r="I111" s="9"/>
      <c r="J111" s="9"/>
      <c r="K111" s="21">
        <f>SUM(T107:T110)</f>
        <v>56.5</v>
      </c>
      <c r="L111" s="21"/>
    </row>
    <row r="112" spans="1:22" ht="14.25" x14ac:dyDescent="0.2">
      <c r="A112" s="18"/>
      <c r="B112" s="18"/>
      <c r="C112" s="18"/>
      <c r="D112" s="18" t="s">
        <v>469</v>
      </c>
      <c r="E112" s="19" t="s">
        <v>470</v>
      </c>
      <c r="F112" s="9">
        <f>Source!AQ46</f>
        <v>0.61</v>
      </c>
      <c r="G112" s="21"/>
      <c r="H112" s="20" t="str">
        <f>Source!DI46</f>
        <v/>
      </c>
      <c r="I112" s="9">
        <f>Source!AV46</f>
        <v>1</v>
      </c>
      <c r="J112" s="9"/>
      <c r="K112" s="21"/>
      <c r="L112" s="21">
        <f>Source!U46</f>
        <v>0.91500000000000004</v>
      </c>
    </row>
    <row r="113" spans="1:22" ht="15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53">
        <f>K109+K110+K111</f>
        <v>1017.02</v>
      </c>
      <c r="K113" s="53"/>
      <c r="L113" s="27">
        <f>IF(Source!I46&lt;&gt;0, ROUND(J113/Source!I46, 2), 0)</f>
        <v>678.01</v>
      </c>
      <c r="P113" s="24">
        <f>J113</f>
        <v>1017.02</v>
      </c>
    </row>
    <row r="115" spans="1:22" ht="15" x14ac:dyDescent="0.25">
      <c r="A115" s="57" t="str">
        <f>CONCATENATE("Итого по подразделу: ",IF(Source!G50&lt;&gt;"Новый подраздел", Source!G50, ""))</f>
        <v>Итого по подразделу: Оборудование водоснабжения и водоотведения</v>
      </c>
      <c r="B115" s="57"/>
      <c r="C115" s="57"/>
      <c r="D115" s="57"/>
      <c r="E115" s="57"/>
      <c r="F115" s="57"/>
      <c r="G115" s="57"/>
      <c r="H115" s="57"/>
      <c r="I115" s="57"/>
      <c r="J115" s="55">
        <f>SUM(P42:P114)</f>
        <v>180465.12999999998</v>
      </c>
      <c r="K115" s="56"/>
      <c r="L115" s="28"/>
    </row>
    <row r="118" spans="1:22" ht="16.5" x14ac:dyDescent="0.25">
      <c r="A118" s="54" t="str">
        <f>CONCATENATE("Подраздел: ",IF(Source!G80&lt;&gt;"Новый подраздел", Source!G80, ""))</f>
        <v>Подраздел: Техническое помещение общее на модуль</v>
      </c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</row>
    <row r="119" spans="1:22" ht="42.75" x14ac:dyDescent="0.2">
      <c r="A119" s="18">
        <v>9</v>
      </c>
      <c r="B119" s="18">
        <v>9</v>
      </c>
      <c r="C119" s="18" t="str">
        <f>Source!F84</f>
        <v>1.21-2303-24-1/1</v>
      </c>
      <c r="D119" s="18" t="str">
        <f>Source!G84</f>
        <v>Техническое обслуживание электроводонагревателей объемом до 80 литров</v>
      </c>
      <c r="E119" s="19" t="str">
        <f>Source!H84</f>
        <v>шт.</v>
      </c>
      <c r="F119" s="9">
        <f>Source!I84</f>
        <v>15</v>
      </c>
      <c r="G119" s="21"/>
      <c r="H119" s="20"/>
      <c r="I119" s="9"/>
      <c r="J119" s="9"/>
      <c r="K119" s="21"/>
      <c r="L119" s="21"/>
      <c r="Q119">
        <f>ROUND((Source!BZ84/100)*ROUND((Source!AF84*Source!AV84)*Source!I84, 2), 2)</f>
        <v>13062.32</v>
      </c>
      <c r="R119">
        <f>Source!X84</f>
        <v>13062.32</v>
      </c>
      <c r="S119">
        <f>ROUND((Source!CA84/100)*ROUND((Source!AF84*Source!AV84)*Source!I84, 2), 2)</f>
        <v>1866.05</v>
      </c>
      <c r="T119">
        <f>Source!Y84</f>
        <v>1866.05</v>
      </c>
      <c r="U119">
        <f>ROUND((175/100)*ROUND((Source!AE84*Source!AV84)*Source!I84, 2), 2)</f>
        <v>23487.71</v>
      </c>
      <c r="V119">
        <f>ROUND((108/100)*ROUND(Source!CS84*Source!I84, 2), 2)</f>
        <v>14495.27</v>
      </c>
    </row>
    <row r="120" spans="1:22" ht="14.25" x14ac:dyDescent="0.2">
      <c r="A120" s="18"/>
      <c r="B120" s="18"/>
      <c r="C120" s="18"/>
      <c r="D120" s="18" t="s">
        <v>461</v>
      </c>
      <c r="E120" s="19"/>
      <c r="F120" s="9"/>
      <c r="G120" s="21">
        <f>Source!AO84</f>
        <v>1244.03</v>
      </c>
      <c r="H120" s="20" t="str">
        <f>Source!DG84</f>
        <v/>
      </c>
      <c r="I120" s="9">
        <f>Source!AV84</f>
        <v>1</v>
      </c>
      <c r="J120" s="9">
        <f>IF(Source!BA84&lt;&gt; 0, Source!BA84, 1)</f>
        <v>1</v>
      </c>
      <c r="K120" s="21">
        <f>Source!S84</f>
        <v>18660.45</v>
      </c>
      <c r="L120" s="21"/>
    </row>
    <row r="121" spans="1:22" ht="14.25" x14ac:dyDescent="0.2">
      <c r="A121" s="18"/>
      <c r="B121" s="18"/>
      <c r="C121" s="18"/>
      <c r="D121" s="18" t="s">
        <v>462</v>
      </c>
      <c r="E121" s="19"/>
      <c r="F121" s="9"/>
      <c r="G121" s="21">
        <f>Source!AM84</f>
        <v>1411.16</v>
      </c>
      <c r="H121" s="20" t="str">
        <f>Source!DE84</f>
        <v/>
      </c>
      <c r="I121" s="9">
        <f>Source!AV84</f>
        <v>1</v>
      </c>
      <c r="J121" s="9">
        <f>IF(Source!BB84&lt;&gt; 0, Source!BB84, 1)</f>
        <v>1</v>
      </c>
      <c r="K121" s="21">
        <f>Source!Q84</f>
        <v>21167.4</v>
      </c>
      <c r="L121" s="21"/>
    </row>
    <row r="122" spans="1:22" ht="14.25" x14ac:dyDescent="0.2">
      <c r="A122" s="18"/>
      <c r="B122" s="18"/>
      <c r="C122" s="18"/>
      <c r="D122" s="18" t="s">
        <v>463</v>
      </c>
      <c r="E122" s="19"/>
      <c r="F122" s="9"/>
      <c r="G122" s="21">
        <f>Source!AN84</f>
        <v>894.77</v>
      </c>
      <c r="H122" s="20" t="str">
        <f>Source!DF84</f>
        <v/>
      </c>
      <c r="I122" s="9">
        <f>Source!AV84</f>
        <v>1</v>
      </c>
      <c r="J122" s="9">
        <f>IF(Source!BS84&lt;&gt; 0, Source!BS84, 1)</f>
        <v>1</v>
      </c>
      <c r="K122" s="23">
        <f>Source!R84</f>
        <v>13421.55</v>
      </c>
      <c r="L122" s="21"/>
    </row>
    <row r="123" spans="1:22" ht="14.25" x14ac:dyDescent="0.2">
      <c r="A123" s="18"/>
      <c r="B123" s="18"/>
      <c r="C123" s="18"/>
      <c r="D123" s="18" t="s">
        <v>464</v>
      </c>
      <c r="E123" s="19"/>
      <c r="F123" s="9"/>
      <c r="G123" s="21">
        <f>Source!AL84</f>
        <v>0.63</v>
      </c>
      <c r="H123" s="20" t="str">
        <f>Source!DD84</f>
        <v/>
      </c>
      <c r="I123" s="9">
        <f>Source!AW84</f>
        <v>1</v>
      </c>
      <c r="J123" s="9">
        <f>IF(Source!BC84&lt;&gt; 0, Source!BC84, 1)</f>
        <v>1</v>
      </c>
      <c r="K123" s="21">
        <f>Source!P84</f>
        <v>9.4499999999999993</v>
      </c>
      <c r="L123" s="21"/>
    </row>
    <row r="124" spans="1:22" ht="14.25" x14ac:dyDescent="0.2">
      <c r="A124" s="18"/>
      <c r="B124" s="18"/>
      <c r="C124" s="18"/>
      <c r="D124" s="18" t="s">
        <v>465</v>
      </c>
      <c r="E124" s="19" t="s">
        <v>466</v>
      </c>
      <c r="F124" s="9">
        <f>Source!AT84</f>
        <v>70</v>
      </c>
      <c r="G124" s="21"/>
      <c r="H124" s="20"/>
      <c r="I124" s="9"/>
      <c r="J124" s="9"/>
      <c r="K124" s="21">
        <f>SUM(R119:R123)</f>
        <v>13062.32</v>
      </c>
      <c r="L124" s="21"/>
    </row>
    <row r="125" spans="1:22" ht="14.25" x14ac:dyDescent="0.2">
      <c r="A125" s="18"/>
      <c r="B125" s="18"/>
      <c r="C125" s="18"/>
      <c r="D125" s="18" t="s">
        <v>467</v>
      </c>
      <c r="E125" s="19" t="s">
        <v>466</v>
      </c>
      <c r="F125" s="9">
        <f>Source!AU84</f>
        <v>10</v>
      </c>
      <c r="G125" s="21"/>
      <c r="H125" s="20"/>
      <c r="I125" s="9"/>
      <c r="J125" s="9"/>
      <c r="K125" s="21">
        <f>SUM(T119:T124)</f>
        <v>1866.05</v>
      </c>
      <c r="L125" s="21"/>
    </row>
    <row r="126" spans="1:22" ht="14.25" x14ac:dyDescent="0.2">
      <c r="A126" s="18"/>
      <c r="B126" s="18"/>
      <c r="C126" s="18"/>
      <c r="D126" s="18" t="s">
        <v>468</v>
      </c>
      <c r="E126" s="19" t="s">
        <v>466</v>
      </c>
      <c r="F126" s="9">
        <f>108</f>
        <v>108</v>
      </c>
      <c r="G126" s="21"/>
      <c r="H126" s="20"/>
      <c r="I126" s="9"/>
      <c r="J126" s="9"/>
      <c r="K126" s="21">
        <f>SUM(V119:V125)</f>
        <v>14495.27</v>
      </c>
      <c r="L126" s="21"/>
    </row>
    <row r="127" spans="1:22" ht="14.25" x14ac:dyDescent="0.2">
      <c r="A127" s="18"/>
      <c r="B127" s="18"/>
      <c r="C127" s="18"/>
      <c r="D127" s="18" t="s">
        <v>469</v>
      </c>
      <c r="E127" s="19" t="s">
        <v>470</v>
      </c>
      <c r="F127" s="9">
        <f>Source!AQ84</f>
        <v>1.75</v>
      </c>
      <c r="G127" s="21"/>
      <c r="H127" s="20" t="str">
        <f>Source!DI84</f>
        <v/>
      </c>
      <c r="I127" s="9">
        <f>Source!AV84</f>
        <v>1</v>
      </c>
      <c r="J127" s="9"/>
      <c r="K127" s="21"/>
      <c r="L127" s="21">
        <f>Source!U84</f>
        <v>26.25</v>
      </c>
    </row>
    <row r="128" spans="1:22" ht="15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53">
        <f>K120+K121+K123+K124+K125+K126</f>
        <v>69260.94</v>
      </c>
      <c r="K128" s="53"/>
      <c r="L128" s="27">
        <f>IF(Source!I84&lt;&gt;0, ROUND(J128/Source!I84, 2), 0)</f>
        <v>4617.3999999999996</v>
      </c>
      <c r="P128" s="24">
        <f>J128</f>
        <v>69260.94</v>
      </c>
    </row>
    <row r="129" spans="1:22" ht="42.75" x14ac:dyDescent="0.2">
      <c r="A129" s="18">
        <v>10</v>
      </c>
      <c r="B129" s="18">
        <v>10</v>
      </c>
      <c r="C129" s="18" t="str">
        <f>Source!F85</f>
        <v>1.24-2103-16-1/1</v>
      </c>
      <c r="D129" s="18" t="str">
        <f>Source!G85</f>
        <v>Техническое обслуживание погружных насосов мощностью от 2,1 кВт до 16 кВт / прим.</v>
      </c>
      <c r="E129" s="19" t="str">
        <f>Source!H85</f>
        <v>шт.</v>
      </c>
      <c r="F129" s="9">
        <f>Source!I85</f>
        <v>15</v>
      </c>
      <c r="G129" s="21"/>
      <c r="H129" s="20"/>
      <c r="I129" s="9"/>
      <c r="J129" s="9"/>
      <c r="K129" s="21"/>
      <c r="L129" s="21"/>
      <c r="Q129">
        <f>ROUND((Source!BZ85/100)*ROUND((Source!AF85*Source!AV85)*Source!I85, 2), 2)</f>
        <v>40053.620000000003</v>
      </c>
      <c r="R129">
        <f>Source!X85</f>
        <v>40053.620000000003</v>
      </c>
      <c r="S129">
        <f>ROUND((Source!CA85/100)*ROUND((Source!AF85*Source!AV85)*Source!I85, 2), 2)</f>
        <v>5721.95</v>
      </c>
      <c r="T129">
        <f>Source!Y85</f>
        <v>5721.95</v>
      </c>
      <c r="U129">
        <f>ROUND((175/100)*ROUND((Source!AE85*Source!AV85)*Source!I85, 2), 2)</f>
        <v>29.66</v>
      </c>
      <c r="V129">
        <f>ROUND((108/100)*ROUND(Source!CS85*Source!I85, 2), 2)</f>
        <v>18.309999999999999</v>
      </c>
    </row>
    <row r="130" spans="1:22" ht="14.25" x14ac:dyDescent="0.2">
      <c r="A130" s="18"/>
      <c r="B130" s="18"/>
      <c r="C130" s="18"/>
      <c r="D130" s="18" t="s">
        <v>461</v>
      </c>
      <c r="E130" s="19"/>
      <c r="F130" s="9"/>
      <c r="G130" s="21">
        <f>Source!AO85</f>
        <v>3814.63</v>
      </c>
      <c r="H130" s="20" t="str">
        <f>Source!DG85</f>
        <v/>
      </c>
      <c r="I130" s="9">
        <f>Source!AV85</f>
        <v>1</v>
      </c>
      <c r="J130" s="9">
        <f>IF(Source!BA85&lt;&gt; 0, Source!BA85, 1)</f>
        <v>1</v>
      </c>
      <c r="K130" s="21">
        <f>Source!S85</f>
        <v>57219.45</v>
      </c>
      <c r="L130" s="21"/>
    </row>
    <row r="131" spans="1:22" ht="14.25" x14ac:dyDescent="0.2">
      <c r="A131" s="18"/>
      <c r="B131" s="18"/>
      <c r="C131" s="18"/>
      <c r="D131" s="18" t="s">
        <v>462</v>
      </c>
      <c r="E131" s="19"/>
      <c r="F131" s="9"/>
      <c r="G131" s="21">
        <f>Source!AM85</f>
        <v>26.53</v>
      </c>
      <c r="H131" s="20" t="str">
        <f>Source!DE85</f>
        <v/>
      </c>
      <c r="I131" s="9">
        <f>Source!AV85</f>
        <v>1</v>
      </c>
      <c r="J131" s="9">
        <f>IF(Source!BB85&lt;&gt; 0, Source!BB85, 1)</f>
        <v>1</v>
      </c>
      <c r="K131" s="21">
        <f>Source!Q85</f>
        <v>397.95</v>
      </c>
      <c r="L131" s="21"/>
    </row>
    <row r="132" spans="1:22" ht="14.25" x14ac:dyDescent="0.2">
      <c r="A132" s="18"/>
      <c r="B132" s="18"/>
      <c r="C132" s="18"/>
      <c r="D132" s="18" t="s">
        <v>463</v>
      </c>
      <c r="E132" s="19"/>
      <c r="F132" s="9"/>
      <c r="G132" s="21">
        <f>Source!AN85</f>
        <v>1.1299999999999999</v>
      </c>
      <c r="H132" s="20" t="str">
        <f>Source!DF85</f>
        <v/>
      </c>
      <c r="I132" s="9">
        <f>Source!AV85</f>
        <v>1</v>
      </c>
      <c r="J132" s="9">
        <f>IF(Source!BS85&lt;&gt; 0, Source!BS85, 1)</f>
        <v>1</v>
      </c>
      <c r="K132" s="23">
        <f>Source!R85</f>
        <v>16.95</v>
      </c>
      <c r="L132" s="21"/>
    </row>
    <row r="133" spans="1:22" ht="14.25" x14ac:dyDescent="0.2">
      <c r="A133" s="18"/>
      <c r="B133" s="18"/>
      <c r="C133" s="18"/>
      <c r="D133" s="18" t="s">
        <v>464</v>
      </c>
      <c r="E133" s="19"/>
      <c r="F133" s="9"/>
      <c r="G133" s="21">
        <f>Source!AL85</f>
        <v>5881.34</v>
      </c>
      <c r="H133" s="20" t="str">
        <f>Source!DD85</f>
        <v/>
      </c>
      <c r="I133" s="9">
        <f>Source!AW85</f>
        <v>1</v>
      </c>
      <c r="J133" s="9">
        <f>IF(Source!BC85&lt;&gt; 0, Source!BC85, 1)</f>
        <v>1</v>
      </c>
      <c r="K133" s="21">
        <f>Source!P85</f>
        <v>88220.1</v>
      </c>
      <c r="L133" s="21"/>
    </row>
    <row r="134" spans="1:22" ht="14.25" x14ac:dyDescent="0.2">
      <c r="A134" s="18"/>
      <c r="B134" s="18"/>
      <c r="C134" s="18"/>
      <c r="D134" s="18" t="s">
        <v>465</v>
      </c>
      <c r="E134" s="19" t="s">
        <v>466</v>
      </c>
      <c r="F134" s="9">
        <f>Source!AT85</f>
        <v>70</v>
      </c>
      <c r="G134" s="21"/>
      <c r="H134" s="20"/>
      <c r="I134" s="9"/>
      <c r="J134" s="9"/>
      <c r="K134" s="21">
        <f>SUM(R129:R133)</f>
        <v>40053.620000000003</v>
      </c>
      <c r="L134" s="21"/>
    </row>
    <row r="135" spans="1:22" ht="14.25" x14ac:dyDescent="0.2">
      <c r="A135" s="18"/>
      <c r="B135" s="18"/>
      <c r="C135" s="18"/>
      <c r="D135" s="18" t="s">
        <v>467</v>
      </c>
      <c r="E135" s="19" t="s">
        <v>466</v>
      </c>
      <c r="F135" s="9">
        <f>Source!AU85</f>
        <v>10</v>
      </c>
      <c r="G135" s="21"/>
      <c r="H135" s="20"/>
      <c r="I135" s="9"/>
      <c r="J135" s="9"/>
      <c r="K135" s="21">
        <f>SUM(T129:T134)</f>
        <v>5721.95</v>
      </c>
      <c r="L135" s="21"/>
    </row>
    <row r="136" spans="1:22" ht="14.25" x14ac:dyDescent="0.2">
      <c r="A136" s="18"/>
      <c r="B136" s="18"/>
      <c r="C136" s="18"/>
      <c r="D136" s="18" t="s">
        <v>468</v>
      </c>
      <c r="E136" s="19" t="s">
        <v>466</v>
      </c>
      <c r="F136" s="9">
        <f>108</f>
        <v>108</v>
      </c>
      <c r="G136" s="21"/>
      <c r="H136" s="20"/>
      <c r="I136" s="9"/>
      <c r="J136" s="9"/>
      <c r="K136" s="21">
        <f>SUM(V129:V135)</f>
        <v>18.309999999999999</v>
      </c>
      <c r="L136" s="21"/>
    </row>
    <row r="137" spans="1:22" ht="14.25" x14ac:dyDescent="0.2">
      <c r="A137" s="18"/>
      <c r="B137" s="18"/>
      <c r="C137" s="18"/>
      <c r="D137" s="18" t="s">
        <v>469</v>
      </c>
      <c r="E137" s="19" t="s">
        <v>470</v>
      </c>
      <c r="F137" s="9">
        <f>Source!AQ85</f>
        <v>5.7</v>
      </c>
      <c r="G137" s="21"/>
      <c r="H137" s="20" t="str">
        <f>Source!DI85</f>
        <v/>
      </c>
      <c r="I137" s="9">
        <f>Source!AV85</f>
        <v>1</v>
      </c>
      <c r="J137" s="9"/>
      <c r="K137" s="21"/>
      <c r="L137" s="21">
        <f>Source!U85</f>
        <v>85.5</v>
      </c>
    </row>
    <row r="138" spans="1:22" ht="15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53">
        <f>K130+K131+K133+K134+K135+K136</f>
        <v>191631.38</v>
      </c>
      <c r="K138" s="53"/>
      <c r="L138" s="27">
        <f>IF(Source!I85&lt;&gt;0, ROUND(J138/Source!I85, 2), 0)</f>
        <v>12775.43</v>
      </c>
      <c r="P138" s="24">
        <f>J138</f>
        <v>191631.38</v>
      </c>
    </row>
    <row r="139" spans="1:22" ht="42.75" x14ac:dyDescent="0.2">
      <c r="A139" s="18">
        <v>11</v>
      </c>
      <c r="B139" s="18">
        <v>11</v>
      </c>
      <c r="C139" s="18" t="str">
        <f>Source!F90</f>
        <v>1.17-2103-14-1/1</v>
      </c>
      <c r="D139" s="18" t="str">
        <f>Source!G90</f>
        <v>Техническое обслуживание мембранного расширительного бака объемом 100 л</v>
      </c>
      <c r="E139" s="19" t="str">
        <f>Source!H90</f>
        <v>шт.</v>
      </c>
      <c r="F139" s="9">
        <f>Source!I90</f>
        <v>15</v>
      </c>
      <c r="G139" s="21"/>
      <c r="H139" s="20"/>
      <c r="I139" s="9"/>
      <c r="J139" s="9"/>
      <c r="K139" s="21"/>
      <c r="L139" s="21"/>
      <c r="Q139">
        <f>ROUND((Source!BZ90/100)*ROUND((Source!AF90*Source!AV90)*Source!I90, 2), 2)</f>
        <v>3760.47</v>
      </c>
      <c r="R139">
        <f>Source!X90</f>
        <v>3760.47</v>
      </c>
      <c r="S139">
        <f>ROUND((Source!CA90/100)*ROUND((Source!AF90*Source!AV90)*Source!I90, 2), 2)</f>
        <v>537.21</v>
      </c>
      <c r="T139">
        <f>Source!Y90</f>
        <v>537.21</v>
      </c>
      <c r="U139">
        <f>ROUND((175/100)*ROUND((Source!AE90*Source!AV90)*Source!I90, 2), 2)</f>
        <v>0</v>
      </c>
      <c r="V139">
        <f>ROUND((108/100)*ROUND(Source!CS90*Source!I90, 2), 2)</f>
        <v>0</v>
      </c>
    </row>
    <row r="140" spans="1:22" ht="14.25" x14ac:dyDescent="0.2">
      <c r="A140" s="18"/>
      <c r="B140" s="18"/>
      <c r="C140" s="18"/>
      <c r="D140" s="18" t="s">
        <v>461</v>
      </c>
      <c r="E140" s="19"/>
      <c r="F140" s="9"/>
      <c r="G140" s="21">
        <f>Source!AO90</f>
        <v>358.14</v>
      </c>
      <c r="H140" s="20" t="str">
        <f>Source!DG90</f>
        <v/>
      </c>
      <c r="I140" s="9">
        <f>Source!AV90</f>
        <v>1</v>
      </c>
      <c r="J140" s="9">
        <f>IF(Source!BA90&lt;&gt; 0, Source!BA90, 1)</f>
        <v>1</v>
      </c>
      <c r="K140" s="21">
        <f>Source!S90</f>
        <v>5372.1</v>
      </c>
      <c r="L140" s="21"/>
    </row>
    <row r="141" spans="1:22" ht="14.25" x14ac:dyDescent="0.2">
      <c r="A141" s="18"/>
      <c r="B141" s="18"/>
      <c r="C141" s="18"/>
      <c r="D141" s="18" t="s">
        <v>464</v>
      </c>
      <c r="E141" s="19"/>
      <c r="F141" s="9"/>
      <c r="G141" s="21">
        <f>Source!AL90</f>
        <v>0.63</v>
      </c>
      <c r="H141" s="20" t="str">
        <f>Source!DD90</f>
        <v/>
      </c>
      <c r="I141" s="9">
        <f>Source!AW90</f>
        <v>1</v>
      </c>
      <c r="J141" s="9">
        <f>IF(Source!BC90&lt;&gt; 0, Source!BC90, 1)</f>
        <v>1</v>
      </c>
      <c r="K141" s="21">
        <f>Source!P90</f>
        <v>9.4499999999999993</v>
      </c>
      <c r="L141" s="21"/>
    </row>
    <row r="142" spans="1:22" ht="14.25" x14ac:dyDescent="0.2">
      <c r="A142" s="18"/>
      <c r="B142" s="18"/>
      <c r="C142" s="18"/>
      <c r="D142" s="18" t="s">
        <v>465</v>
      </c>
      <c r="E142" s="19" t="s">
        <v>466</v>
      </c>
      <c r="F142" s="9">
        <f>Source!AT90</f>
        <v>70</v>
      </c>
      <c r="G142" s="21"/>
      <c r="H142" s="20"/>
      <c r="I142" s="9"/>
      <c r="J142" s="9"/>
      <c r="K142" s="21">
        <f>SUM(R139:R141)</f>
        <v>3760.47</v>
      </c>
      <c r="L142" s="21"/>
    </row>
    <row r="143" spans="1:22" ht="14.25" x14ac:dyDescent="0.2">
      <c r="A143" s="18"/>
      <c r="B143" s="18"/>
      <c r="C143" s="18"/>
      <c r="D143" s="18" t="s">
        <v>467</v>
      </c>
      <c r="E143" s="19" t="s">
        <v>466</v>
      </c>
      <c r="F143" s="9">
        <f>Source!AU90</f>
        <v>10</v>
      </c>
      <c r="G143" s="21"/>
      <c r="H143" s="20"/>
      <c r="I143" s="9"/>
      <c r="J143" s="9"/>
      <c r="K143" s="21">
        <f>SUM(T139:T142)</f>
        <v>537.21</v>
      </c>
      <c r="L143" s="21"/>
    </row>
    <row r="144" spans="1:22" ht="14.25" x14ac:dyDescent="0.2">
      <c r="A144" s="18"/>
      <c r="B144" s="18"/>
      <c r="C144" s="18"/>
      <c r="D144" s="18" t="s">
        <v>469</v>
      </c>
      <c r="E144" s="19" t="s">
        <v>470</v>
      </c>
      <c r="F144" s="9">
        <f>Source!AQ90</f>
        <v>0.57999999999999996</v>
      </c>
      <c r="G144" s="21"/>
      <c r="H144" s="20" t="str">
        <f>Source!DI90</f>
        <v/>
      </c>
      <c r="I144" s="9">
        <f>Source!AV90</f>
        <v>1</v>
      </c>
      <c r="J144" s="9"/>
      <c r="K144" s="21"/>
      <c r="L144" s="21">
        <f>Source!U90</f>
        <v>8.6999999999999993</v>
      </c>
    </row>
    <row r="145" spans="1:22" ht="15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53">
        <f>K140+K141+K142+K143</f>
        <v>9679.23</v>
      </c>
      <c r="K145" s="53"/>
      <c r="L145" s="27">
        <f>IF(Source!I90&lt;&gt;0, ROUND(J145/Source!I90, 2), 0)</f>
        <v>645.28</v>
      </c>
      <c r="P145" s="24">
        <f>J145</f>
        <v>9679.23</v>
      </c>
    </row>
    <row r="147" spans="1:22" ht="15" x14ac:dyDescent="0.25">
      <c r="A147" s="57" t="str">
        <f>CONCATENATE("Итого по подразделу: ",IF(Source!G92&lt;&gt;"Новый подраздел", Source!G92, ""))</f>
        <v>Итого по подразделу: Техническое помещение общее на модуль</v>
      </c>
      <c r="B147" s="57"/>
      <c r="C147" s="57"/>
      <c r="D147" s="57"/>
      <c r="E147" s="57"/>
      <c r="F147" s="57"/>
      <c r="G147" s="57"/>
      <c r="H147" s="57"/>
      <c r="I147" s="57"/>
      <c r="J147" s="55">
        <f>SUM(P118:P146)</f>
        <v>270571.55</v>
      </c>
      <c r="K147" s="56"/>
      <c r="L147" s="28"/>
    </row>
    <row r="150" spans="1:22" ht="16.5" x14ac:dyDescent="0.25">
      <c r="A150" s="54" t="str">
        <f>CONCATENATE("Подраздел: ",IF(Source!G122&lt;&gt;"Новый подраздел", Source!G122, ""))</f>
        <v>Подраздел: Электрооборудование каждого модуля</v>
      </c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</row>
    <row r="151" spans="1:22" ht="71.25" x14ac:dyDescent="0.2">
      <c r="A151" s="18">
        <v>12</v>
      </c>
      <c r="B151" s="18">
        <v>12</v>
      </c>
      <c r="C151" s="18" t="str">
        <f>Source!F126</f>
        <v>1.21-2203-2-5/1</v>
      </c>
      <c r="D151" s="18" t="str">
        <f>Source!G126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E151" s="19" t="str">
        <f>Source!H126</f>
        <v>шт.</v>
      </c>
      <c r="F151" s="9">
        <f>Source!I126</f>
        <v>15</v>
      </c>
      <c r="G151" s="21"/>
      <c r="H151" s="20"/>
      <c r="I151" s="9"/>
      <c r="J151" s="9"/>
      <c r="K151" s="21"/>
      <c r="L151" s="21"/>
      <c r="Q151">
        <f>ROUND((Source!BZ126/100)*ROUND((Source!AF126*Source!AV126)*Source!I126, 2), 2)</f>
        <v>155607.48000000001</v>
      </c>
      <c r="R151">
        <f>Source!X126</f>
        <v>155607.48000000001</v>
      </c>
      <c r="S151">
        <f>ROUND((Source!CA126/100)*ROUND((Source!AF126*Source!AV126)*Source!I126, 2), 2)</f>
        <v>22229.64</v>
      </c>
      <c r="T151">
        <f>Source!Y126</f>
        <v>22229.64</v>
      </c>
      <c r="U151">
        <f>ROUND((175/100)*ROUND((Source!AE126*Source!AV126)*Source!I126, 2), 2)</f>
        <v>0</v>
      </c>
      <c r="V151">
        <f>ROUND((108/100)*ROUND(Source!CS126*Source!I126, 2), 2)</f>
        <v>0</v>
      </c>
    </row>
    <row r="152" spans="1:22" ht="14.25" x14ac:dyDescent="0.2">
      <c r="A152" s="18"/>
      <c r="B152" s="18"/>
      <c r="C152" s="18"/>
      <c r="D152" s="18" t="s">
        <v>461</v>
      </c>
      <c r="E152" s="19"/>
      <c r="F152" s="9"/>
      <c r="G152" s="21">
        <f>Source!AO126</f>
        <v>14819.76</v>
      </c>
      <c r="H152" s="20" t="str">
        <f>Source!DG126</f>
        <v/>
      </c>
      <c r="I152" s="9">
        <f>Source!AV126</f>
        <v>1</v>
      </c>
      <c r="J152" s="9">
        <f>IF(Source!BA126&lt;&gt; 0, Source!BA126, 1)</f>
        <v>1</v>
      </c>
      <c r="K152" s="21">
        <f>Source!S126</f>
        <v>222296.4</v>
      </c>
      <c r="L152" s="21"/>
    </row>
    <row r="153" spans="1:22" ht="14.25" x14ac:dyDescent="0.2">
      <c r="A153" s="18"/>
      <c r="B153" s="18"/>
      <c r="C153" s="18"/>
      <c r="D153" s="18" t="s">
        <v>464</v>
      </c>
      <c r="E153" s="19"/>
      <c r="F153" s="9"/>
      <c r="G153" s="21">
        <f>Source!AL126</f>
        <v>205.53</v>
      </c>
      <c r="H153" s="20" t="str">
        <f>Source!DD126</f>
        <v/>
      </c>
      <c r="I153" s="9">
        <f>Source!AW126</f>
        <v>1</v>
      </c>
      <c r="J153" s="9">
        <f>IF(Source!BC126&lt;&gt; 0, Source!BC126, 1)</f>
        <v>1</v>
      </c>
      <c r="K153" s="21">
        <f>Source!P126</f>
        <v>3082.95</v>
      </c>
      <c r="L153" s="21"/>
    </row>
    <row r="154" spans="1:22" ht="14.25" x14ac:dyDescent="0.2">
      <c r="A154" s="18"/>
      <c r="B154" s="18"/>
      <c r="C154" s="18"/>
      <c r="D154" s="18" t="s">
        <v>465</v>
      </c>
      <c r="E154" s="19" t="s">
        <v>466</v>
      </c>
      <c r="F154" s="9">
        <f>Source!AT126</f>
        <v>70</v>
      </c>
      <c r="G154" s="21"/>
      <c r="H154" s="20"/>
      <c r="I154" s="9"/>
      <c r="J154" s="9"/>
      <c r="K154" s="21">
        <f>SUM(R151:R153)</f>
        <v>155607.48000000001</v>
      </c>
      <c r="L154" s="21"/>
    </row>
    <row r="155" spans="1:22" ht="14.25" x14ac:dyDescent="0.2">
      <c r="A155" s="18"/>
      <c r="B155" s="18"/>
      <c r="C155" s="18"/>
      <c r="D155" s="18" t="s">
        <v>467</v>
      </c>
      <c r="E155" s="19" t="s">
        <v>466</v>
      </c>
      <c r="F155" s="9">
        <f>Source!AU126</f>
        <v>10</v>
      </c>
      <c r="G155" s="21"/>
      <c r="H155" s="20"/>
      <c r="I155" s="9"/>
      <c r="J155" s="9"/>
      <c r="K155" s="21">
        <f>SUM(T151:T154)</f>
        <v>22229.64</v>
      </c>
      <c r="L155" s="21"/>
    </row>
    <row r="156" spans="1:22" ht="14.25" x14ac:dyDescent="0.2">
      <c r="A156" s="18"/>
      <c r="B156" s="18"/>
      <c r="C156" s="18"/>
      <c r="D156" s="18" t="s">
        <v>469</v>
      </c>
      <c r="E156" s="19" t="s">
        <v>470</v>
      </c>
      <c r="F156" s="9">
        <f>Source!AQ126</f>
        <v>24</v>
      </c>
      <c r="G156" s="21"/>
      <c r="H156" s="20" t="str">
        <f>Source!DI126</f>
        <v/>
      </c>
      <c r="I156" s="9">
        <f>Source!AV126</f>
        <v>1</v>
      </c>
      <c r="J156" s="9"/>
      <c r="K156" s="21"/>
      <c r="L156" s="21">
        <f>Source!U126</f>
        <v>360</v>
      </c>
    </row>
    <row r="157" spans="1:22" ht="15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53">
        <f>K152+K153+K154+K155</f>
        <v>403216.47000000003</v>
      </c>
      <c r="K157" s="53"/>
      <c r="L157" s="27">
        <f>IF(Source!I126&lt;&gt;0, ROUND(J157/Source!I126, 2), 0)</f>
        <v>26881.1</v>
      </c>
      <c r="P157" s="24">
        <f>J157</f>
        <v>403216.47000000003</v>
      </c>
    </row>
    <row r="158" spans="1:22" ht="57" x14ac:dyDescent="0.2">
      <c r="A158" s="18">
        <v>13</v>
      </c>
      <c r="B158" s="18">
        <v>13</v>
      </c>
      <c r="C158" s="18" t="str">
        <f>Source!F129</f>
        <v>1.21-2303-50-1/1</v>
      </c>
      <c r="D158" s="18" t="str">
        <f>Source!G129</f>
        <v>Техническое обслуживание  конвектора электрического настенного крепления, с механическим термостатом, мощность до 2,0 кВт</v>
      </c>
      <c r="E158" s="19" t="str">
        <f>Source!H129</f>
        <v>шт.</v>
      </c>
      <c r="F158" s="9">
        <f>Source!I129</f>
        <v>60</v>
      </c>
      <c r="G158" s="21"/>
      <c r="H158" s="20"/>
      <c r="I158" s="9"/>
      <c r="J158" s="9"/>
      <c r="K158" s="21"/>
      <c r="L158" s="21"/>
      <c r="Q158">
        <f>ROUND((Source!BZ129/100)*ROUND((Source!AF129*Source!AV129)*Source!I129, 2), 2)</f>
        <v>3630.9</v>
      </c>
      <c r="R158">
        <f>Source!X129</f>
        <v>3630.9</v>
      </c>
      <c r="S158">
        <f>ROUND((Source!CA129/100)*ROUND((Source!AF129*Source!AV129)*Source!I129, 2), 2)</f>
        <v>518.70000000000005</v>
      </c>
      <c r="T158">
        <f>Source!Y129</f>
        <v>518.70000000000005</v>
      </c>
      <c r="U158">
        <f>ROUND((175/100)*ROUND((Source!AE129*Source!AV129)*Source!I129, 2), 2)</f>
        <v>0</v>
      </c>
      <c r="V158">
        <f>ROUND((108/100)*ROUND(Source!CS129*Source!I129, 2), 2)</f>
        <v>0</v>
      </c>
    </row>
    <row r="159" spans="1:22" x14ac:dyDescent="0.2">
      <c r="D159" s="22" t="str">
        <f>"Объем: "&amp;Source!I129&amp;"=4*"&amp;"15"</f>
        <v>Объем: 60=4*15</v>
      </c>
    </row>
    <row r="160" spans="1:22" ht="14.25" x14ac:dyDescent="0.2">
      <c r="A160" s="18"/>
      <c r="B160" s="18"/>
      <c r="C160" s="18"/>
      <c r="D160" s="18" t="s">
        <v>461</v>
      </c>
      <c r="E160" s="19"/>
      <c r="F160" s="9"/>
      <c r="G160" s="21">
        <f>Source!AO129</f>
        <v>86.45</v>
      </c>
      <c r="H160" s="20" t="str">
        <f>Source!DG129</f>
        <v/>
      </c>
      <c r="I160" s="9">
        <f>Source!AV129</f>
        <v>1</v>
      </c>
      <c r="J160" s="9">
        <f>IF(Source!BA129&lt;&gt; 0, Source!BA129, 1)</f>
        <v>1</v>
      </c>
      <c r="K160" s="21">
        <f>Source!S129</f>
        <v>5187</v>
      </c>
      <c r="L160" s="21"/>
    </row>
    <row r="161" spans="1:22" ht="14.25" x14ac:dyDescent="0.2">
      <c r="A161" s="18"/>
      <c r="B161" s="18"/>
      <c r="C161" s="18"/>
      <c r="D161" s="18" t="s">
        <v>462</v>
      </c>
      <c r="E161" s="19"/>
      <c r="F161" s="9"/>
      <c r="G161" s="21">
        <f>Source!AM129</f>
        <v>0.23</v>
      </c>
      <c r="H161" s="20" t="str">
        <f>Source!DE129</f>
        <v/>
      </c>
      <c r="I161" s="9">
        <f>Source!AV129</f>
        <v>1</v>
      </c>
      <c r="J161" s="9">
        <f>IF(Source!BB129&lt;&gt; 0, Source!BB129, 1)</f>
        <v>1</v>
      </c>
      <c r="K161" s="21">
        <f>Source!Q129</f>
        <v>13.8</v>
      </c>
      <c r="L161" s="21"/>
    </row>
    <row r="162" spans="1:22" ht="14.25" x14ac:dyDescent="0.2">
      <c r="A162" s="18"/>
      <c r="B162" s="18"/>
      <c r="C162" s="18"/>
      <c r="D162" s="18" t="s">
        <v>464</v>
      </c>
      <c r="E162" s="19"/>
      <c r="F162" s="9"/>
      <c r="G162" s="21">
        <f>Source!AL129</f>
        <v>2.2000000000000002</v>
      </c>
      <c r="H162" s="20" t="str">
        <f>Source!DD129</f>
        <v/>
      </c>
      <c r="I162" s="9">
        <f>Source!AW129</f>
        <v>1</v>
      </c>
      <c r="J162" s="9">
        <f>IF(Source!BC129&lt;&gt; 0, Source!BC129, 1)</f>
        <v>1</v>
      </c>
      <c r="K162" s="21">
        <f>Source!P129</f>
        <v>132</v>
      </c>
      <c r="L162" s="21"/>
    </row>
    <row r="163" spans="1:22" ht="14.25" x14ac:dyDescent="0.2">
      <c r="A163" s="18"/>
      <c r="B163" s="18"/>
      <c r="C163" s="18"/>
      <c r="D163" s="18" t="s">
        <v>465</v>
      </c>
      <c r="E163" s="19" t="s">
        <v>466</v>
      </c>
      <c r="F163" s="9">
        <f>Source!AT129</f>
        <v>70</v>
      </c>
      <c r="G163" s="21"/>
      <c r="H163" s="20"/>
      <c r="I163" s="9"/>
      <c r="J163" s="9"/>
      <c r="K163" s="21">
        <f>SUM(R158:R162)</f>
        <v>3630.9</v>
      </c>
      <c r="L163" s="21"/>
    </row>
    <row r="164" spans="1:22" ht="14.25" x14ac:dyDescent="0.2">
      <c r="A164" s="18"/>
      <c r="B164" s="18"/>
      <c r="C164" s="18"/>
      <c r="D164" s="18" t="s">
        <v>467</v>
      </c>
      <c r="E164" s="19" t="s">
        <v>466</v>
      </c>
      <c r="F164" s="9">
        <f>Source!AU129</f>
        <v>10</v>
      </c>
      <c r="G164" s="21"/>
      <c r="H164" s="20"/>
      <c r="I164" s="9"/>
      <c r="J164" s="9"/>
      <c r="K164" s="21">
        <f>SUM(T158:T163)</f>
        <v>518.70000000000005</v>
      </c>
      <c r="L164" s="21"/>
    </row>
    <row r="165" spans="1:22" ht="14.25" x14ac:dyDescent="0.2">
      <c r="A165" s="18"/>
      <c r="B165" s="18"/>
      <c r="C165" s="18"/>
      <c r="D165" s="18" t="s">
        <v>469</v>
      </c>
      <c r="E165" s="19" t="s">
        <v>470</v>
      </c>
      <c r="F165" s="9">
        <f>Source!AQ129</f>
        <v>0.14000000000000001</v>
      </c>
      <c r="G165" s="21"/>
      <c r="H165" s="20" t="str">
        <f>Source!DI129</f>
        <v/>
      </c>
      <c r="I165" s="9">
        <f>Source!AV129</f>
        <v>1</v>
      </c>
      <c r="J165" s="9"/>
      <c r="K165" s="21"/>
      <c r="L165" s="21">
        <f>Source!U129</f>
        <v>8.4</v>
      </c>
    </row>
    <row r="166" spans="1:22" ht="15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53">
        <f>K160+K161+K162+K163+K164</f>
        <v>9482.4000000000015</v>
      </c>
      <c r="K166" s="53"/>
      <c r="L166" s="27">
        <f>IF(Source!I129&lt;&gt;0, ROUND(J166/Source!I129, 2), 0)</f>
        <v>158.04</v>
      </c>
      <c r="P166" s="24">
        <f>J166</f>
        <v>9482.4000000000015</v>
      </c>
    </row>
    <row r="167" spans="1:22" ht="42.75" x14ac:dyDescent="0.2">
      <c r="A167" s="18">
        <v>14</v>
      </c>
      <c r="B167" s="18">
        <v>14</v>
      </c>
      <c r="C167" s="18" t="str">
        <f>Source!F132</f>
        <v>1.21-3301-35-1/1</v>
      </c>
      <c r="D167" s="18" t="str">
        <f>Source!G132</f>
        <v>Ремонт электрополотенца (сушителя для рук) с заменой датчика включения (без стоимости датчика)</v>
      </c>
      <c r="E167" s="19" t="str">
        <f>Source!H132</f>
        <v>шт.</v>
      </c>
      <c r="F167" s="9">
        <f>Source!I132</f>
        <v>45</v>
      </c>
      <c r="G167" s="21"/>
      <c r="H167" s="20"/>
      <c r="I167" s="9"/>
      <c r="J167" s="9"/>
      <c r="K167" s="21"/>
      <c r="L167" s="21"/>
      <c r="Q167">
        <f>ROUND((Source!BZ132/100)*ROUND((Source!AF132*Source!AV132)*Source!I132, 2), 2)</f>
        <v>5428.4</v>
      </c>
      <c r="R167">
        <f>Source!X132</f>
        <v>5428.4</v>
      </c>
      <c r="S167">
        <f>ROUND((Source!CA132/100)*ROUND((Source!AF132*Source!AV132)*Source!I132, 2), 2)</f>
        <v>775.49</v>
      </c>
      <c r="T167">
        <f>Source!Y132</f>
        <v>775.49</v>
      </c>
      <c r="U167">
        <f>ROUND((175/100)*ROUND((Source!AE132*Source!AV132)*Source!I132, 2), 2)</f>
        <v>0</v>
      </c>
      <c r="V167">
        <f>ROUND((108/100)*ROUND(Source!CS132*Source!I132, 2), 2)</f>
        <v>0</v>
      </c>
    </row>
    <row r="168" spans="1:22" x14ac:dyDescent="0.2">
      <c r="D168" s="22" t="str">
        <f>"Объем: "&amp;Source!I132&amp;"=3*"&amp;"15"</f>
        <v>Объем: 45=3*15</v>
      </c>
    </row>
    <row r="169" spans="1:22" ht="14.25" x14ac:dyDescent="0.2">
      <c r="A169" s="18"/>
      <c r="B169" s="18"/>
      <c r="C169" s="18"/>
      <c r="D169" s="18" t="s">
        <v>461</v>
      </c>
      <c r="E169" s="19"/>
      <c r="F169" s="9"/>
      <c r="G169" s="21">
        <f>Source!AO132</f>
        <v>172.33</v>
      </c>
      <c r="H169" s="20" t="str">
        <f>Source!DG132</f>
        <v/>
      </c>
      <c r="I169" s="9">
        <f>Source!AV132</f>
        <v>1</v>
      </c>
      <c r="J169" s="9">
        <f>IF(Source!BA132&lt;&gt; 0, Source!BA132, 1)</f>
        <v>1</v>
      </c>
      <c r="K169" s="21">
        <f>Source!S132</f>
        <v>7754.85</v>
      </c>
      <c r="L169" s="21"/>
    </row>
    <row r="170" spans="1:22" ht="14.25" x14ac:dyDescent="0.2">
      <c r="A170" s="18"/>
      <c r="B170" s="18"/>
      <c r="C170" s="18"/>
      <c r="D170" s="18" t="s">
        <v>464</v>
      </c>
      <c r="E170" s="19"/>
      <c r="F170" s="9"/>
      <c r="G170" s="21">
        <f>Source!AL132</f>
        <v>8.26</v>
      </c>
      <c r="H170" s="20" t="str">
        <f>Source!DD132</f>
        <v/>
      </c>
      <c r="I170" s="9">
        <f>Source!AW132</f>
        <v>1</v>
      </c>
      <c r="J170" s="9">
        <f>IF(Source!BC132&lt;&gt; 0, Source!BC132, 1)</f>
        <v>1</v>
      </c>
      <c r="K170" s="21">
        <f>Source!P132</f>
        <v>371.7</v>
      </c>
      <c r="L170" s="21"/>
    </row>
    <row r="171" spans="1:22" ht="14.25" x14ac:dyDescent="0.2">
      <c r="A171" s="18"/>
      <c r="B171" s="18"/>
      <c r="C171" s="18"/>
      <c r="D171" s="18" t="s">
        <v>465</v>
      </c>
      <c r="E171" s="19" t="s">
        <v>466</v>
      </c>
      <c r="F171" s="9">
        <f>Source!AT132</f>
        <v>70</v>
      </c>
      <c r="G171" s="21"/>
      <c r="H171" s="20"/>
      <c r="I171" s="9"/>
      <c r="J171" s="9"/>
      <c r="K171" s="21">
        <f>SUM(R167:R170)</f>
        <v>5428.4</v>
      </c>
      <c r="L171" s="21"/>
    </row>
    <row r="172" spans="1:22" ht="14.25" x14ac:dyDescent="0.2">
      <c r="A172" s="18"/>
      <c r="B172" s="18"/>
      <c r="C172" s="18"/>
      <c r="D172" s="18" t="s">
        <v>467</v>
      </c>
      <c r="E172" s="19" t="s">
        <v>466</v>
      </c>
      <c r="F172" s="9">
        <f>Source!AU132</f>
        <v>10</v>
      </c>
      <c r="G172" s="21"/>
      <c r="H172" s="20"/>
      <c r="I172" s="9"/>
      <c r="J172" s="9"/>
      <c r="K172" s="21">
        <f>SUM(T167:T171)</f>
        <v>775.49</v>
      </c>
      <c r="L172" s="21"/>
    </row>
    <row r="173" spans="1:22" ht="14.25" x14ac:dyDescent="0.2">
      <c r="A173" s="18"/>
      <c r="B173" s="18"/>
      <c r="C173" s="18"/>
      <c r="D173" s="18" t="s">
        <v>469</v>
      </c>
      <c r="E173" s="19" t="s">
        <v>470</v>
      </c>
      <c r="F173" s="9">
        <f>Source!AQ132</f>
        <v>0.34</v>
      </c>
      <c r="G173" s="21"/>
      <c r="H173" s="20" t="str">
        <f>Source!DI132</f>
        <v/>
      </c>
      <c r="I173" s="9">
        <f>Source!AV132</f>
        <v>1</v>
      </c>
      <c r="J173" s="9"/>
      <c r="K173" s="21"/>
      <c r="L173" s="21">
        <f>Source!U132</f>
        <v>15.3</v>
      </c>
    </row>
    <row r="174" spans="1:22" ht="15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53">
        <f>K169+K170+K171+K172</f>
        <v>14330.44</v>
      </c>
      <c r="K174" s="53"/>
      <c r="L174" s="27">
        <f>IF(Source!I132&lt;&gt;0, ROUND(J174/Source!I132, 2), 0)</f>
        <v>318.45</v>
      </c>
      <c r="P174" s="24">
        <f>J174</f>
        <v>14330.44</v>
      </c>
    </row>
    <row r="175" spans="1:22" ht="150.75" x14ac:dyDescent="0.2">
      <c r="A175" s="18">
        <v>15</v>
      </c>
      <c r="B175" s="18">
        <v>15</v>
      </c>
      <c r="C175" s="18" t="s">
        <v>471</v>
      </c>
      <c r="D175" s="18" t="s">
        <v>472</v>
      </c>
      <c r="E175" s="19" t="str">
        <f>Source!H133</f>
        <v>шт.</v>
      </c>
      <c r="F175" s="9">
        <f>Source!I133</f>
        <v>15</v>
      </c>
      <c r="G175" s="21"/>
      <c r="H175" s="20"/>
      <c r="I175" s="9"/>
      <c r="J175" s="9"/>
      <c r="K175" s="21"/>
      <c r="L175" s="21"/>
      <c r="Q175">
        <f>ROUND((Source!BZ133/100)*ROUND((Source!AF133*Source!AV133)*Source!I133, 2), 2)</f>
        <v>1104.99</v>
      </c>
      <c r="R175">
        <f>Source!X133</f>
        <v>1104.99</v>
      </c>
      <c r="S175">
        <f>ROUND((Source!CA133/100)*ROUND((Source!AF133*Source!AV133)*Source!I133, 2), 2)</f>
        <v>157.86000000000001</v>
      </c>
      <c r="T175">
        <f>Source!Y133</f>
        <v>157.86000000000001</v>
      </c>
      <c r="U175">
        <f>ROUND((175/100)*ROUND((Source!AE133*Source!AV133)*Source!I133, 2), 2)</f>
        <v>0</v>
      </c>
      <c r="V175">
        <f>ROUND((108/100)*ROUND(Source!CS133*Source!I133, 2), 2)</f>
        <v>0</v>
      </c>
    </row>
    <row r="176" spans="1:22" ht="14.25" x14ac:dyDescent="0.2">
      <c r="A176" s="18"/>
      <c r="B176" s="18"/>
      <c r="C176" s="18"/>
      <c r="D176" s="18" t="s">
        <v>461</v>
      </c>
      <c r="E176" s="19"/>
      <c r="F176" s="9"/>
      <c r="G176" s="21">
        <f>Source!AO133</f>
        <v>101.19</v>
      </c>
      <c r="H176" s="20" t="str">
        <f>Source!DG133</f>
        <v>)*1,04</v>
      </c>
      <c r="I176" s="9">
        <f>Source!AV133</f>
        <v>1</v>
      </c>
      <c r="J176" s="9">
        <f>IF(Source!BA133&lt;&gt; 0, Source!BA133, 1)</f>
        <v>1</v>
      </c>
      <c r="K176" s="21">
        <f>Source!S133</f>
        <v>1578.56</v>
      </c>
      <c r="L176" s="21"/>
    </row>
    <row r="177" spans="1:22" ht="14.25" x14ac:dyDescent="0.2">
      <c r="A177" s="18"/>
      <c r="B177" s="18"/>
      <c r="C177" s="18"/>
      <c r="D177" s="18" t="s">
        <v>464</v>
      </c>
      <c r="E177" s="19"/>
      <c r="F177" s="9"/>
      <c r="G177" s="21">
        <f>Source!AL133</f>
        <v>1.26</v>
      </c>
      <c r="H177" s="20" t="str">
        <f>Source!DD133</f>
        <v/>
      </c>
      <c r="I177" s="9">
        <f>Source!AW133</f>
        <v>1</v>
      </c>
      <c r="J177" s="9">
        <f>IF(Source!BC133&lt;&gt; 0, Source!BC133, 1)</f>
        <v>1</v>
      </c>
      <c r="K177" s="21">
        <f>Source!P133</f>
        <v>18.899999999999999</v>
      </c>
      <c r="L177" s="21"/>
    </row>
    <row r="178" spans="1:22" ht="14.25" x14ac:dyDescent="0.2">
      <c r="A178" s="18"/>
      <c r="B178" s="18"/>
      <c r="C178" s="18"/>
      <c r="D178" s="18" t="s">
        <v>465</v>
      </c>
      <c r="E178" s="19" t="s">
        <v>466</v>
      </c>
      <c r="F178" s="9">
        <f>Source!AT133</f>
        <v>70</v>
      </c>
      <c r="G178" s="21"/>
      <c r="H178" s="20"/>
      <c r="I178" s="9"/>
      <c r="J178" s="9"/>
      <c r="K178" s="21">
        <f>SUM(R175:R177)</f>
        <v>1104.99</v>
      </c>
      <c r="L178" s="21"/>
    </row>
    <row r="179" spans="1:22" ht="14.25" x14ac:dyDescent="0.2">
      <c r="A179" s="18"/>
      <c r="B179" s="18"/>
      <c r="C179" s="18"/>
      <c r="D179" s="18" t="s">
        <v>467</v>
      </c>
      <c r="E179" s="19" t="s">
        <v>466</v>
      </c>
      <c r="F179" s="9">
        <f>Source!AU133</f>
        <v>10</v>
      </c>
      <c r="G179" s="21"/>
      <c r="H179" s="20"/>
      <c r="I179" s="9"/>
      <c r="J179" s="9"/>
      <c r="K179" s="21">
        <f>SUM(T175:T178)</f>
        <v>157.86000000000001</v>
      </c>
      <c r="L179" s="21"/>
    </row>
    <row r="180" spans="1:22" ht="14.25" x14ac:dyDescent="0.2">
      <c r="A180" s="18"/>
      <c r="B180" s="18"/>
      <c r="C180" s="18"/>
      <c r="D180" s="18" t="s">
        <v>469</v>
      </c>
      <c r="E180" s="19" t="s">
        <v>470</v>
      </c>
      <c r="F180" s="9">
        <f>Source!AQ133</f>
        <v>0.18</v>
      </c>
      <c r="G180" s="21"/>
      <c r="H180" s="20" t="str">
        <f>Source!DI133</f>
        <v>)*1,04</v>
      </c>
      <c r="I180" s="9">
        <f>Source!AV133</f>
        <v>1</v>
      </c>
      <c r="J180" s="9"/>
      <c r="K180" s="21"/>
      <c r="L180" s="21">
        <f>Source!U133</f>
        <v>2.8080000000000003</v>
      </c>
    </row>
    <row r="181" spans="1:22" ht="15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53">
        <f>K176+K177+K178+K179</f>
        <v>2860.31</v>
      </c>
      <c r="K181" s="53"/>
      <c r="L181" s="27">
        <f>IF(Source!I133&lt;&gt;0, ROUND(J181/Source!I133, 2), 0)</f>
        <v>190.69</v>
      </c>
      <c r="P181" s="24">
        <f>J181</f>
        <v>2860.31</v>
      </c>
    </row>
    <row r="182" spans="1:22" ht="165" x14ac:dyDescent="0.2">
      <c r="A182" s="18">
        <v>16</v>
      </c>
      <c r="B182" s="18">
        <v>16</v>
      </c>
      <c r="C182" s="18" t="s">
        <v>473</v>
      </c>
      <c r="D182" s="18" t="s">
        <v>474</v>
      </c>
      <c r="E182" s="19" t="str">
        <f>Source!H134</f>
        <v>шт.</v>
      </c>
      <c r="F182" s="9">
        <f>Source!I134</f>
        <v>60</v>
      </c>
      <c r="G182" s="21"/>
      <c r="H182" s="20"/>
      <c r="I182" s="9"/>
      <c r="J182" s="9"/>
      <c r="K182" s="21"/>
      <c r="L182" s="21"/>
      <c r="Q182">
        <f>ROUND((Source!BZ134/100)*ROUND((Source!AF134*Source!AV134)*Source!I134, 2), 2)</f>
        <v>7366.63</v>
      </c>
      <c r="R182">
        <f>Source!X134</f>
        <v>7366.63</v>
      </c>
      <c r="S182">
        <f>ROUND((Source!CA134/100)*ROUND((Source!AF134*Source!AV134)*Source!I134, 2), 2)</f>
        <v>1052.3800000000001</v>
      </c>
      <c r="T182">
        <f>Source!Y134</f>
        <v>1052.3800000000001</v>
      </c>
      <c r="U182">
        <f>ROUND((175/100)*ROUND((Source!AE134*Source!AV134)*Source!I134, 2), 2)</f>
        <v>0</v>
      </c>
      <c r="V182">
        <f>ROUND((108/100)*ROUND(Source!CS134*Source!I134, 2), 2)</f>
        <v>0</v>
      </c>
    </row>
    <row r="183" spans="1:22" x14ac:dyDescent="0.2">
      <c r="D183" s="22" t="str">
        <f>"Объем: "&amp;Source!I134&amp;"=(4)*"&amp;"15"</f>
        <v>Объем: 60=(4)*15</v>
      </c>
    </row>
    <row r="184" spans="1:22" ht="14.25" x14ac:dyDescent="0.2">
      <c r="A184" s="18"/>
      <c r="B184" s="18"/>
      <c r="C184" s="18"/>
      <c r="D184" s="18" t="s">
        <v>461</v>
      </c>
      <c r="E184" s="19"/>
      <c r="F184" s="9"/>
      <c r="G184" s="21">
        <f>Source!AO134</f>
        <v>168.65</v>
      </c>
      <c r="H184" s="20" t="str">
        <f>Source!DG134</f>
        <v>)*1,04</v>
      </c>
      <c r="I184" s="9">
        <f>Source!AV134</f>
        <v>1</v>
      </c>
      <c r="J184" s="9">
        <f>IF(Source!BA134&lt;&gt; 0, Source!BA134, 1)</f>
        <v>1</v>
      </c>
      <c r="K184" s="21">
        <f>Source!S134</f>
        <v>10523.76</v>
      </c>
      <c r="L184" s="21"/>
    </row>
    <row r="185" spans="1:22" ht="14.25" x14ac:dyDescent="0.2">
      <c r="A185" s="18"/>
      <c r="B185" s="18"/>
      <c r="C185" s="18"/>
      <c r="D185" s="18" t="s">
        <v>464</v>
      </c>
      <c r="E185" s="19"/>
      <c r="F185" s="9"/>
      <c r="G185" s="21">
        <f>Source!AL134</f>
        <v>0.63</v>
      </c>
      <c r="H185" s="20" t="str">
        <f>Source!DD134</f>
        <v/>
      </c>
      <c r="I185" s="9">
        <f>Source!AW134</f>
        <v>1</v>
      </c>
      <c r="J185" s="9">
        <f>IF(Source!BC134&lt;&gt; 0, Source!BC134, 1)</f>
        <v>1</v>
      </c>
      <c r="K185" s="21">
        <f>Source!P134</f>
        <v>37.799999999999997</v>
      </c>
      <c r="L185" s="21"/>
    </row>
    <row r="186" spans="1:22" ht="14.25" x14ac:dyDescent="0.2">
      <c r="A186" s="18"/>
      <c r="B186" s="18"/>
      <c r="C186" s="18"/>
      <c r="D186" s="18" t="s">
        <v>465</v>
      </c>
      <c r="E186" s="19" t="s">
        <v>466</v>
      </c>
      <c r="F186" s="9">
        <f>Source!AT134</f>
        <v>70</v>
      </c>
      <c r="G186" s="21"/>
      <c r="H186" s="20"/>
      <c r="I186" s="9"/>
      <c r="J186" s="9"/>
      <c r="K186" s="21">
        <f>SUM(R182:R185)</f>
        <v>7366.63</v>
      </c>
      <c r="L186" s="21"/>
    </row>
    <row r="187" spans="1:22" ht="14.25" x14ac:dyDescent="0.2">
      <c r="A187" s="18"/>
      <c r="B187" s="18"/>
      <c r="C187" s="18"/>
      <c r="D187" s="18" t="s">
        <v>467</v>
      </c>
      <c r="E187" s="19" t="s">
        <v>466</v>
      </c>
      <c r="F187" s="9">
        <f>Source!AU134</f>
        <v>10</v>
      </c>
      <c r="G187" s="21"/>
      <c r="H187" s="20"/>
      <c r="I187" s="9"/>
      <c r="J187" s="9"/>
      <c r="K187" s="21">
        <f>SUM(T182:T186)</f>
        <v>1052.3800000000001</v>
      </c>
      <c r="L187" s="21"/>
    </row>
    <row r="188" spans="1:22" ht="14.25" x14ac:dyDescent="0.2">
      <c r="A188" s="18"/>
      <c r="B188" s="18"/>
      <c r="C188" s="18"/>
      <c r="D188" s="18" t="s">
        <v>469</v>
      </c>
      <c r="E188" s="19" t="s">
        <v>470</v>
      </c>
      <c r="F188" s="9">
        <f>Source!AQ134</f>
        <v>0.3</v>
      </c>
      <c r="G188" s="21"/>
      <c r="H188" s="20" t="str">
        <f>Source!DI134</f>
        <v>)*1,04</v>
      </c>
      <c r="I188" s="9">
        <f>Source!AV134</f>
        <v>1</v>
      </c>
      <c r="J188" s="9"/>
      <c r="K188" s="21"/>
      <c r="L188" s="21">
        <f>Source!U134</f>
        <v>18.72</v>
      </c>
    </row>
    <row r="189" spans="1:22" ht="15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53">
        <f>K184+K185+K186+K187</f>
        <v>18980.57</v>
      </c>
      <c r="K189" s="53"/>
      <c r="L189" s="27">
        <f>IF(Source!I134&lt;&gt;0, ROUND(J189/Source!I134, 2), 0)</f>
        <v>316.33999999999997</v>
      </c>
      <c r="P189" s="24">
        <f>J189</f>
        <v>18980.57</v>
      </c>
    </row>
    <row r="190" spans="1:22" ht="108" x14ac:dyDescent="0.2">
      <c r="A190" s="18">
        <v>17</v>
      </c>
      <c r="B190" s="18">
        <v>17</v>
      </c>
      <c r="C190" s="18" t="s">
        <v>475</v>
      </c>
      <c r="D190" s="18" t="s">
        <v>476</v>
      </c>
      <c r="E190" s="19" t="str">
        <f>Source!H135</f>
        <v>шт.</v>
      </c>
      <c r="F190" s="9">
        <f>Source!I135</f>
        <v>60</v>
      </c>
      <c r="G190" s="21"/>
      <c r="H190" s="20"/>
      <c r="I190" s="9"/>
      <c r="J190" s="9"/>
      <c r="K190" s="21"/>
      <c r="L190" s="21"/>
      <c r="Q190">
        <f>ROUND((Source!BZ135/100)*ROUND((Source!AF135*Source!AV135)*Source!I135, 2), 2)</f>
        <v>9822.32</v>
      </c>
      <c r="R190">
        <f>Source!X135</f>
        <v>9822.32</v>
      </c>
      <c r="S190">
        <f>ROUND((Source!CA135/100)*ROUND((Source!AF135*Source!AV135)*Source!I135, 2), 2)</f>
        <v>1403.19</v>
      </c>
      <c r="T190">
        <f>Source!Y135</f>
        <v>1403.19</v>
      </c>
      <c r="U190">
        <f>ROUND((175/100)*ROUND((Source!AE135*Source!AV135)*Source!I135, 2), 2)</f>
        <v>0</v>
      </c>
      <c r="V190">
        <f>ROUND((108/100)*ROUND(Source!CS135*Source!I135, 2), 2)</f>
        <v>0</v>
      </c>
    </row>
    <row r="191" spans="1:22" x14ac:dyDescent="0.2">
      <c r="D191" s="22" t="str">
        <f>"Объем: "&amp;Source!I135&amp;"=4*"&amp;"15"</f>
        <v>Объем: 60=4*15</v>
      </c>
    </row>
    <row r="192" spans="1:22" ht="14.25" x14ac:dyDescent="0.2">
      <c r="A192" s="18"/>
      <c r="B192" s="18"/>
      <c r="C192" s="18"/>
      <c r="D192" s="18" t="s">
        <v>461</v>
      </c>
      <c r="E192" s="19"/>
      <c r="F192" s="9"/>
      <c r="G192" s="21">
        <f>Source!AO135</f>
        <v>224.87</v>
      </c>
      <c r="H192" s="20" t="str">
        <f>Source!DG135</f>
        <v>)*1,04</v>
      </c>
      <c r="I192" s="9">
        <f>Source!AV135</f>
        <v>1</v>
      </c>
      <c r="J192" s="9">
        <f>IF(Source!BA135&lt;&gt; 0, Source!BA135, 1)</f>
        <v>1</v>
      </c>
      <c r="K192" s="21">
        <f>Source!S135</f>
        <v>14031.89</v>
      </c>
      <c r="L192" s="21"/>
    </row>
    <row r="193" spans="1:22" ht="14.25" x14ac:dyDescent="0.2">
      <c r="A193" s="18"/>
      <c r="B193" s="18"/>
      <c r="C193" s="18"/>
      <c r="D193" s="18" t="s">
        <v>464</v>
      </c>
      <c r="E193" s="19"/>
      <c r="F193" s="9"/>
      <c r="G193" s="21">
        <f>Source!AL135</f>
        <v>1.26</v>
      </c>
      <c r="H193" s="20" t="str">
        <f>Source!DD135</f>
        <v/>
      </c>
      <c r="I193" s="9">
        <f>Source!AW135</f>
        <v>1</v>
      </c>
      <c r="J193" s="9">
        <f>IF(Source!BC135&lt;&gt; 0, Source!BC135, 1)</f>
        <v>1</v>
      </c>
      <c r="K193" s="21">
        <f>Source!P135</f>
        <v>75.599999999999994</v>
      </c>
      <c r="L193" s="21"/>
    </row>
    <row r="194" spans="1:22" ht="14.25" x14ac:dyDescent="0.2">
      <c r="A194" s="18"/>
      <c r="B194" s="18"/>
      <c r="C194" s="18"/>
      <c r="D194" s="18" t="s">
        <v>465</v>
      </c>
      <c r="E194" s="19" t="s">
        <v>466</v>
      </c>
      <c r="F194" s="9">
        <f>Source!AT135</f>
        <v>70</v>
      </c>
      <c r="G194" s="21"/>
      <c r="H194" s="20"/>
      <c r="I194" s="9"/>
      <c r="J194" s="9"/>
      <c r="K194" s="21">
        <f>SUM(R190:R193)</f>
        <v>9822.32</v>
      </c>
      <c r="L194" s="21"/>
    </row>
    <row r="195" spans="1:22" ht="14.25" x14ac:dyDescent="0.2">
      <c r="A195" s="18"/>
      <c r="B195" s="18"/>
      <c r="C195" s="18"/>
      <c r="D195" s="18" t="s">
        <v>467</v>
      </c>
      <c r="E195" s="19" t="s">
        <v>466</v>
      </c>
      <c r="F195" s="9">
        <f>Source!AU135</f>
        <v>10</v>
      </c>
      <c r="G195" s="21"/>
      <c r="H195" s="20"/>
      <c r="I195" s="9"/>
      <c r="J195" s="9"/>
      <c r="K195" s="21">
        <f>SUM(T190:T194)</f>
        <v>1403.19</v>
      </c>
      <c r="L195" s="21"/>
    </row>
    <row r="196" spans="1:22" ht="14.25" x14ac:dyDescent="0.2">
      <c r="A196" s="18"/>
      <c r="B196" s="18"/>
      <c r="C196" s="18"/>
      <c r="D196" s="18" t="s">
        <v>469</v>
      </c>
      <c r="E196" s="19" t="s">
        <v>470</v>
      </c>
      <c r="F196" s="9">
        <f>Source!AQ135</f>
        <v>0.4</v>
      </c>
      <c r="G196" s="21"/>
      <c r="H196" s="20" t="str">
        <f>Source!DI135</f>
        <v>)*1,04</v>
      </c>
      <c r="I196" s="9">
        <f>Source!AV135</f>
        <v>1</v>
      </c>
      <c r="J196" s="9"/>
      <c r="K196" s="21"/>
      <c r="L196" s="21">
        <f>Source!U135</f>
        <v>24.96</v>
      </c>
    </row>
    <row r="197" spans="1:22" ht="15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53">
        <f>K192+K193+K194+K195</f>
        <v>25332.999999999996</v>
      </c>
      <c r="K197" s="53"/>
      <c r="L197" s="27">
        <f>IF(Source!I135&lt;&gt;0, ROUND(J197/Source!I135, 2), 0)</f>
        <v>422.22</v>
      </c>
      <c r="P197" s="24">
        <f>J197</f>
        <v>25332.999999999996</v>
      </c>
    </row>
    <row r="198" spans="1:22" ht="71.25" x14ac:dyDescent="0.2">
      <c r="A198" s="18">
        <v>18</v>
      </c>
      <c r="B198" s="18">
        <v>18</v>
      </c>
      <c r="C198" s="18" t="str">
        <f>Source!F136</f>
        <v>1.20-2103-20-1/1</v>
      </c>
      <c r="D198" s="18" t="str">
        <f>Source!G136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198" s="19" t="str">
        <f>Source!H136</f>
        <v>шт.</v>
      </c>
      <c r="F198" s="9">
        <f>Source!I136</f>
        <v>15</v>
      </c>
      <c r="G198" s="21"/>
      <c r="H198" s="20"/>
      <c r="I198" s="9"/>
      <c r="J198" s="9"/>
      <c r="K198" s="21"/>
      <c r="L198" s="21"/>
      <c r="Q198">
        <f>ROUND((Source!BZ136/100)*ROUND((Source!AF136*Source!AV136)*Source!I136, 2), 2)</f>
        <v>6138.72</v>
      </c>
      <c r="R198">
        <f>Source!X136</f>
        <v>6138.72</v>
      </c>
      <c r="S198">
        <f>ROUND((Source!CA136/100)*ROUND((Source!AF136*Source!AV136)*Source!I136, 2), 2)</f>
        <v>876.96</v>
      </c>
      <c r="T198">
        <f>Source!Y136</f>
        <v>876.96</v>
      </c>
      <c r="U198">
        <f>ROUND((175/100)*ROUND((Source!AE136*Source!AV136)*Source!I136, 2), 2)</f>
        <v>0</v>
      </c>
      <c r="V198">
        <f>ROUND((108/100)*ROUND(Source!CS136*Source!I136, 2), 2)</f>
        <v>0</v>
      </c>
    </row>
    <row r="199" spans="1:22" ht="14.25" x14ac:dyDescent="0.2">
      <c r="A199" s="18"/>
      <c r="B199" s="18"/>
      <c r="C199" s="18"/>
      <c r="D199" s="18" t="s">
        <v>461</v>
      </c>
      <c r="E199" s="19"/>
      <c r="F199" s="9"/>
      <c r="G199" s="21">
        <f>Source!AO136</f>
        <v>146.16</v>
      </c>
      <c r="H199" s="20" t="str">
        <f>Source!DG136</f>
        <v>)*4</v>
      </c>
      <c r="I199" s="9">
        <f>Source!AV136</f>
        <v>1</v>
      </c>
      <c r="J199" s="9">
        <f>IF(Source!BA136&lt;&gt; 0, Source!BA136, 1)</f>
        <v>1</v>
      </c>
      <c r="K199" s="21">
        <f>Source!S136</f>
        <v>8769.6</v>
      </c>
      <c r="L199" s="21"/>
    </row>
    <row r="200" spans="1:22" ht="14.25" x14ac:dyDescent="0.2">
      <c r="A200" s="18"/>
      <c r="B200" s="18"/>
      <c r="C200" s="18"/>
      <c r="D200" s="18" t="s">
        <v>464</v>
      </c>
      <c r="E200" s="19"/>
      <c r="F200" s="9"/>
      <c r="G200" s="21">
        <f>Source!AL136</f>
        <v>1.26</v>
      </c>
      <c r="H200" s="20" t="str">
        <f>Source!DD136</f>
        <v>)*4</v>
      </c>
      <c r="I200" s="9">
        <f>Source!AW136</f>
        <v>1</v>
      </c>
      <c r="J200" s="9">
        <f>IF(Source!BC136&lt;&gt; 0, Source!BC136, 1)</f>
        <v>1</v>
      </c>
      <c r="K200" s="21">
        <f>Source!P136</f>
        <v>75.599999999999994</v>
      </c>
      <c r="L200" s="21"/>
    </row>
    <row r="201" spans="1:22" ht="14.25" x14ac:dyDescent="0.2">
      <c r="A201" s="18"/>
      <c r="B201" s="18"/>
      <c r="C201" s="18"/>
      <c r="D201" s="18" t="s">
        <v>465</v>
      </c>
      <c r="E201" s="19" t="s">
        <v>466</v>
      </c>
      <c r="F201" s="9">
        <f>Source!AT136</f>
        <v>70</v>
      </c>
      <c r="G201" s="21"/>
      <c r="H201" s="20"/>
      <c r="I201" s="9"/>
      <c r="J201" s="9"/>
      <c r="K201" s="21">
        <f>SUM(R198:R200)</f>
        <v>6138.72</v>
      </c>
      <c r="L201" s="21"/>
    </row>
    <row r="202" spans="1:22" ht="14.25" x14ac:dyDescent="0.2">
      <c r="A202" s="18"/>
      <c r="B202" s="18"/>
      <c r="C202" s="18"/>
      <c r="D202" s="18" t="s">
        <v>467</v>
      </c>
      <c r="E202" s="19" t="s">
        <v>466</v>
      </c>
      <c r="F202" s="9">
        <f>Source!AU136</f>
        <v>10</v>
      </c>
      <c r="G202" s="21"/>
      <c r="H202" s="20"/>
      <c r="I202" s="9"/>
      <c r="J202" s="9"/>
      <c r="K202" s="21">
        <f>SUM(T198:T201)</f>
        <v>876.96</v>
      </c>
      <c r="L202" s="21"/>
    </row>
    <row r="203" spans="1:22" ht="14.25" x14ac:dyDescent="0.2">
      <c r="A203" s="18"/>
      <c r="B203" s="18"/>
      <c r="C203" s="18"/>
      <c r="D203" s="18" t="s">
        <v>469</v>
      </c>
      <c r="E203" s="19" t="s">
        <v>470</v>
      </c>
      <c r="F203" s="9">
        <f>Source!AQ136</f>
        <v>0.26</v>
      </c>
      <c r="G203" s="21"/>
      <c r="H203" s="20" t="str">
        <f>Source!DI136</f>
        <v>)*4</v>
      </c>
      <c r="I203" s="9">
        <f>Source!AV136</f>
        <v>1</v>
      </c>
      <c r="J203" s="9"/>
      <c r="K203" s="21"/>
      <c r="L203" s="21">
        <f>Source!U136</f>
        <v>15.600000000000001</v>
      </c>
    </row>
    <row r="204" spans="1:22" ht="15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53">
        <f>K199+K200+K201+K202</f>
        <v>15860.880000000001</v>
      </c>
      <c r="K204" s="53"/>
      <c r="L204" s="27">
        <f>IF(Source!I136&lt;&gt;0, ROUND(J204/Source!I136, 2), 0)</f>
        <v>1057.3900000000001</v>
      </c>
      <c r="P204" s="24">
        <f>J204</f>
        <v>15860.880000000001</v>
      </c>
    </row>
    <row r="205" spans="1:22" ht="28.5" x14ac:dyDescent="0.2">
      <c r="A205" s="18">
        <v>19</v>
      </c>
      <c r="B205" s="18">
        <v>19</v>
      </c>
      <c r="C205" s="18" t="str">
        <f>Source!F137</f>
        <v>1.18-2303-3-1/1</v>
      </c>
      <c r="D205" s="18" t="str">
        <f>Source!G137</f>
        <v>Техническое обслуживание канального вентилятора - ежемесячное</v>
      </c>
      <c r="E205" s="19" t="str">
        <f>Source!H137</f>
        <v>шт.</v>
      </c>
      <c r="F205" s="9">
        <f>Source!I137</f>
        <v>60</v>
      </c>
      <c r="G205" s="21"/>
      <c r="H205" s="20"/>
      <c r="I205" s="9"/>
      <c r="J205" s="9"/>
      <c r="K205" s="21"/>
      <c r="L205" s="21"/>
      <c r="Q205">
        <f>ROUND((Source!BZ137/100)*ROUND((Source!AF137*Source!AV137)*Source!I137, 2), 2)</f>
        <v>51092.160000000003</v>
      </c>
      <c r="R205">
        <f>Source!X137</f>
        <v>51092.160000000003</v>
      </c>
      <c r="S205">
        <f>ROUND((Source!CA137/100)*ROUND((Source!AF137*Source!AV137)*Source!I137, 2), 2)</f>
        <v>7298.88</v>
      </c>
      <c r="T205">
        <f>Source!Y137</f>
        <v>7298.88</v>
      </c>
      <c r="U205">
        <f>ROUND((175/100)*ROUND((Source!AE137*Source!AV137)*Source!I137, 2), 2)</f>
        <v>0</v>
      </c>
      <c r="V205">
        <f>ROUND((108/100)*ROUND(Source!CS137*Source!I137, 2), 2)</f>
        <v>0</v>
      </c>
    </row>
    <row r="206" spans="1:22" x14ac:dyDescent="0.2">
      <c r="D206" s="22" t="str">
        <f>"Объем: "&amp;Source!I137&amp;"=4*"&amp;"15"</f>
        <v>Объем: 60=4*15</v>
      </c>
    </row>
    <row r="207" spans="1:22" ht="14.25" x14ac:dyDescent="0.2">
      <c r="A207" s="18"/>
      <c r="B207" s="18"/>
      <c r="C207" s="18"/>
      <c r="D207" s="18" t="s">
        <v>461</v>
      </c>
      <c r="E207" s="19"/>
      <c r="F207" s="9"/>
      <c r="G207" s="21">
        <f>Source!AO137</f>
        <v>304.12</v>
      </c>
      <c r="H207" s="20" t="str">
        <f>Source!DG137</f>
        <v>)*4</v>
      </c>
      <c r="I207" s="9">
        <f>Source!AV137</f>
        <v>1</v>
      </c>
      <c r="J207" s="9">
        <f>IF(Source!BA137&lt;&gt; 0, Source!BA137, 1)</f>
        <v>1</v>
      </c>
      <c r="K207" s="21">
        <f>Source!S137</f>
        <v>72988.800000000003</v>
      </c>
      <c r="L207" s="21"/>
    </row>
    <row r="208" spans="1:22" ht="14.25" x14ac:dyDescent="0.2">
      <c r="A208" s="18"/>
      <c r="B208" s="18"/>
      <c r="C208" s="18"/>
      <c r="D208" s="18" t="s">
        <v>465</v>
      </c>
      <c r="E208" s="19" t="s">
        <v>466</v>
      </c>
      <c r="F208" s="9">
        <f>Source!AT137</f>
        <v>70</v>
      </c>
      <c r="G208" s="21"/>
      <c r="H208" s="20"/>
      <c r="I208" s="9"/>
      <c r="J208" s="9"/>
      <c r="K208" s="21">
        <f>SUM(R205:R207)</f>
        <v>51092.160000000003</v>
      </c>
      <c r="L208" s="21"/>
    </row>
    <row r="209" spans="1:22" ht="14.25" x14ac:dyDescent="0.2">
      <c r="A209" s="18"/>
      <c r="B209" s="18"/>
      <c r="C209" s="18"/>
      <c r="D209" s="18" t="s">
        <v>467</v>
      </c>
      <c r="E209" s="19" t="s">
        <v>466</v>
      </c>
      <c r="F209" s="9">
        <f>Source!AU137</f>
        <v>10</v>
      </c>
      <c r="G209" s="21"/>
      <c r="H209" s="20"/>
      <c r="I209" s="9"/>
      <c r="J209" s="9"/>
      <c r="K209" s="21">
        <f>SUM(T205:T208)</f>
        <v>7298.88</v>
      </c>
      <c r="L209" s="21"/>
    </row>
    <row r="210" spans="1:22" ht="14.25" x14ac:dyDescent="0.2">
      <c r="A210" s="18"/>
      <c r="B210" s="18"/>
      <c r="C210" s="18"/>
      <c r="D210" s="18" t="s">
        <v>469</v>
      </c>
      <c r="E210" s="19" t="s">
        <v>470</v>
      </c>
      <c r="F210" s="9">
        <f>Source!AQ137</f>
        <v>0.5</v>
      </c>
      <c r="G210" s="21"/>
      <c r="H210" s="20" t="str">
        <f>Source!DI137</f>
        <v>)*4</v>
      </c>
      <c r="I210" s="9">
        <f>Source!AV137</f>
        <v>1</v>
      </c>
      <c r="J210" s="9"/>
      <c r="K210" s="21"/>
      <c r="L210" s="21">
        <f>Source!U137</f>
        <v>120</v>
      </c>
    </row>
    <row r="211" spans="1:22" ht="15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53">
        <f>K207+K208+K209</f>
        <v>131379.84</v>
      </c>
      <c r="K211" s="53"/>
      <c r="L211" s="27">
        <f>IF(Source!I137&lt;&gt;0, ROUND(J211/Source!I137, 2), 0)</f>
        <v>2189.66</v>
      </c>
      <c r="P211" s="24">
        <f>J211</f>
        <v>131379.84</v>
      </c>
    </row>
    <row r="212" spans="1:22" ht="28.5" x14ac:dyDescent="0.2">
      <c r="A212" s="18">
        <v>20</v>
      </c>
      <c r="B212" s="18">
        <v>20</v>
      </c>
      <c r="C212" s="18" t="str">
        <f>Source!F140</f>
        <v>1.23-2103-6-1/1</v>
      </c>
      <c r="D212" s="18" t="str">
        <f>Source!G140</f>
        <v>Техническое обслуживание выключателей поплавковых</v>
      </c>
      <c r="E212" s="19" t="str">
        <f>Source!H140</f>
        <v>100 шт.</v>
      </c>
      <c r="F212" s="9">
        <f>Source!I140</f>
        <v>0.6</v>
      </c>
      <c r="G212" s="21"/>
      <c r="H212" s="20"/>
      <c r="I212" s="9"/>
      <c r="J212" s="9"/>
      <c r="K212" s="21"/>
      <c r="L212" s="21"/>
      <c r="Q212">
        <f>ROUND((Source!BZ140/100)*ROUND((Source!AF140*Source!AV140)*Source!I140, 2), 2)</f>
        <v>5395.98</v>
      </c>
      <c r="R212">
        <f>Source!X140</f>
        <v>5395.98</v>
      </c>
      <c r="S212">
        <f>ROUND((Source!CA140/100)*ROUND((Source!AF140*Source!AV140)*Source!I140, 2), 2)</f>
        <v>770.85</v>
      </c>
      <c r="T212">
        <f>Source!Y140</f>
        <v>770.85</v>
      </c>
      <c r="U212">
        <f>ROUND((175/100)*ROUND((Source!AE140*Source!AV140)*Source!I140, 2), 2)</f>
        <v>2429.04</v>
      </c>
      <c r="V212">
        <f>ROUND((108/100)*ROUND(Source!CS140*Source!I140, 2), 2)</f>
        <v>1499.06</v>
      </c>
    </row>
    <row r="213" spans="1:22" x14ac:dyDescent="0.2">
      <c r="D213" s="22" t="str">
        <f>"Объем: "&amp;Source!I140&amp;"=(4*"&amp;"15)/"&amp;"100"</f>
        <v>Объем: 0,6=(4*15)/100</v>
      </c>
    </row>
    <row r="214" spans="1:22" ht="14.25" x14ac:dyDescent="0.2">
      <c r="A214" s="18"/>
      <c r="B214" s="18"/>
      <c r="C214" s="18"/>
      <c r="D214" s="18" t="s">
        <v>461</v>
      </c>
      <c r="E214" s="19"/>
      <c r="F214" s="9"/>
      <c r="G214" s="21">
        <f>Source!AO140</f>
        <v>3211.89</v>
      </c>
      <c r="H214" s="20" t="str">
        <f>Source!DG140</f>
        <v>)*4</v>
      </c>
      <c r="I214" s="9">
        <f>Source!AV140</f>
        <v>1</v>
      </c>
      <c r="J214" s="9">
        <f>IF(Source!BA140&lt;&gt; 0, Source!BA140, 1)</f>
        <v>1</v>
      </c>
      <c r="K214" s="21">
        <f>Source!S140</f>
        <v>7708.54</v>
      </c>
      <c r="L214" s="21"/>
    </row>
    <row r="215" spans="1:22" ht="14.25" x14ac:dyDescent="0.2">
      <c r="A215" s="18"/>
      <c r="B215" s="18"/>
      <c r="C215" s="18"/>
      <c r="D215" s="18" t="s">
        <v>462</v>
      </c>
      <c r="E215" s="19"/>
      <c r="F215" s="9"/>
      <c r="G215" s="21">
        <f>Source!AM140</f>
        <v>912.11</v>
      </c>
      <c r="H215" s="20" t="str">
        <f>Source!DE140</f>
        <v>)*4</v>
      </c>
      <c r="I215" s="9">
        <f>Source!AV140</f>
        <v>1</v>
      </c>
      <c r="J215" s="9">
        <f>IF(Source!BB140&lt;&gt; 0, Source!BB140, 1)</f>
        <v>1</v>
      </c>
      <c r="K215" s="21">
        <f>Source!Q140</f>
        <v>2189.06</v>
      </c>
      <c r="L215" s="21"/>
    </row>
    <row r="216" spans="1:22" ht="14.25" x14ac:dyDescent="0.2">
      <c r="A216" s="18"/>
      <c r="B216" s="18"/>
      <c r="C216" s="18"/>
      <c r="D216" s="18" t="s">
        <v>463</v>
      </c>
      <c r="E216" s="19"/>
      <c r="F216" s="9"/>
      <c r="G216" s="21">
        <f>Source!AN140</f>
        <v>578.34</v>
      </c>
      <c r="H216" s="20" t="str">
        <f>Source!DF140</f>
        <v>)*4</v>
      </c>
      <c r="I216" s="9">
        <f>Source!AV140</f>
        <v>1</v>
      </c>
      <c r="J216" s="9">
        <f>IF(Source!BS140&lt;&gt; 0, Source!BS140, 1)</f>
        <v>1</v>
      </c>
      <c r="K216" s="23">
        <f>Source!R140</f>
        <v>1388.02</v>
      </c>
      <c r="L216" s="21"/>
    </row>
    <row r="217" spans="1:22" ht="14.25" x14ac:dyDescent="0.2">
      <c r="A217" s="18"/>
      <c r="B217" s="18"/>
      <c r="C217" s="18"/>
      <c r="D217" s="18" t="s">
        <v>464</v>
      </c>
      <c r="E217" s="19"/>
      <c r="F217" s="9"/>
      <c r="G217" s="21">
        <f>Source!AL140</f>
        <v>0.94</v>
      </c>
      <c r="H217" s="20" t="str">
        <f>Source!DD140</f>
        <v>)*4</v>
      </c>
      <c r="I217" s="9">
        <f>Source!AW140</f>
        <v>1</v>
      </c>
      <c r="J217" s="9">
        <f>IF(Source!BC140&lt;&gt; 0, Source!BC140, 1)</f>
        <v>1</v>
      </c>
      <c r="K217" s="21">
        <f>Source!P140</f>
        <v>2.2599999999999998</v>
      </c>
      <c r="L217" s="21"/>
    </row>
    <row r="218" spans="1:22" ht="14.25" x14ac:dyDescent="0.2">
      <c r="A218" s="18"/>
      <c r="B218" s="18"/>
      <c r="C218" s="18"/>
      <c r="D218" s="18" t="s">
        <v>465</v>
      </c>
      <c r="E218" s="19" t="s">
        <v>466</v>
      </c>
      <c r="F218" s="9">
        <f>Source!AT140</f>
        <v>70</v>
      </c>
      <c r="G218" s="21"/>
      <c r="H218" s="20"/>
      <c r="I218" s="9"/>
      <c r="J218" s="9"/>
      <c r="K218" s="21">
        <f>SUM(R212:R217)</f>
        <v>5395.98</v>
      </c>
      <c r="L218" s="21"/>
    </row>
    <row r="219" spans="1:22" ht="14.25" x14ac:dyDescent="0.2">
      <c r="A219" s="18"/>
      <c r="B219" s="18"/>
      <c r="C219" s="18"/>
      <c r="D219" s="18" t="s">
        <v>467</v>
      </c>
      <c r="E219" s="19" t="s">
        <v>466</v>
      </c>
      <c r="F219" s="9">
        <f>Source!AU140</f>
        <v>10</v>
      </c>
      <c r="G219" s="21"/>
      <c r="H219" s="20"/>
      <c r="I219" s="9"/>
      <c r="J219" s="9"/>
      <c r="K219" s="21">
        <f>SUM(T212:T218)</f>
        <v>770.85</v>
      </c>
      <c r="L219" s="21"/>
    </row>
    <row r="220" spans="1:22" ht="14.25" x14ac:dyDescent="0.2">
      <c r="A220" s="18"/>
      <c r="B220" s="18"/>
      <c r="C220" s="18"/>
      <c r="D220" s="18" t="s">
        <v>468</v>
      </c>
      <c r="E220" s="19" t="s">
        <v>466</v>
      </c>
      <c r="F220" s="9">
        <f>108</f>
        <v>108</v>
      </c>
      <c r="G220" s="21"/>
      <c r="H220" s="20"/>
      <c r="I220" s="9"/>
      <c r="J220" s="9"/>
      <c r="K220" s="21">
        <f>SUM(V212:V219)</f>
        <v>1499.06</v>
      </c>
      <c r="L220" s="21"/>
    </row>
    <row r="221" spans="1:22" ht="14.25" x14ac:dyDescent="0.2">
      <c r="A221" s="18"/>
      <c r="B221" s="18"/>
      <c r="C221" s="18"/>
      <c r="D221" s="18" t="s">
        <v>469</v>
      </c>
      <c r="E221" s="19" t="s">
        <v>470</v>
      </c>
      <c r="F221" s="9">
        <f>Source!AQ140</f>
        <v>6</v>
      </c>
      <c r="G221" s="21"/>
      <c r="H221" s="20" t="str">
        <f>Source!DI140</f>
        <v>)*4</v>
      </c>
      <c r="I221" s="9">
        <f>Source!AV140</f>
        <v>1</v>
      </c>
      <c r="J221" s="9"/>
      <c r="K221" s="21"/>
      <c r="L221" s="21">
        <f>Source!U140</f>
        <v>14.399999999999999</v>
      </c>
    </row>
    <row r="222" spans="1:22" ht="15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53">
        <f>K214+K215+K217+K218+K219+K220</f>
        <v>17565.75</v>
      </c>
      <c r="K222" s="53"/>
      <c r="L222" s="27">
        <f>IF(Source!I140&lt;&gt;0, ROUND(J222/Source!I140, 2), 0)</f>
        <v>29276.25</v>
      </c>
      <c r="P222" s="24">
        <f>J222</f>
        <v>17565.75</v>
      </c>
    </row>
    <row r="223" spans="1:22" ht="71.25" x14ac:dyDescent="0.2">
      <c r="A223" s="18">
        <v>21</v>
      </c>
      <c r="B223" s="18">
        <v>21</v>
      </c>
      <c r="C223" s="18" t="str">
        <f>Source!F142</f>
        <v>1.21-2303-37-1/1</v>
      </c>
      <c r="D223" s="18" t="str">
        <f>Source!G142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223" s="19" t="str">
        <f>Source!H142</f>
        <v>10 шт.</v>
      </c>
      <c r="F223" s="9">
        <f>Source!I142</f>
        <v>18</v>
      </c>
      <c r="G223" s="21"/>
      <c r="H223" s="20"/>
      <c r="I223" s="9"/>
      <c r="J223" s="9"/>
      <c r="K223" s="21"/>
      <c r="L223" s="21"/>
      <c r="Q223">
        <f>ROUND((Source!BZ142/100)*ROUND((Source!AF142*Source!AV142)*Source!I142, 2), 2)</f>
        <v>1400.49</v>
      </c>
      <c r="R223">
        <f>Source!X142</f>
        <v>1400.49</v>
      </c>
      <c r="S223">
        <f>ROUND((Source!CA142/100)*ROUND((Source!AF142*Source!AV142)*Source!I142, 2), 2)</f>
        <v>200.07</v>
      </c>
      <c r="T223">
        <f>Source!Y142</f>
        <v>200.07</v>
      </c>
      <c r="U223">
        <f>ROUND((175/100)*ROUND((Source!AE142*Source!AV142)*Source!I142, 2), 2)</f>
        <v>0</v>
      </c>
      <c r="V223">
        <f>ROUND((108/100)*ROUND(Source!CS142*Source!I142, 2), 2)</f>
        <v>0</v>
      </c>
    </row>
    <row r="224" spans="1:22" x14ac:dyDescent="0.2">
      <c r="D224" s="22" t="str">
        <f>"Объем: "&amp;Source!I142&amp;"=(12*"&amp;"15)/"&amp;"10"</f>
        <v>Объем: 18=(12*15)/10</v>
      </c>
    </row>
    <row r="225" spans="1:22" ht="14.25" x14ac:dyDescent="0.2">
      <c r="A225" s="18"/>
      <c r="B225" s="18"/>
      <c r="C225" s="18"/>
      <c r="D225" s="18" t="s">
        <v>461</v>
      </c>
      <c r="E225" s="19"/>
      <c r="F225" s="9"/>
      <c r="G225" s="21">
        <f>Source!AO142</f>
        <v>111.15</v>
      </c>
      <c r="H225" s="20" t="str">
        <f>Source!DG142</f>
        <v/>
      </c>
      <c r="I225" s="9">
        <f>Source!AV142</f>
        <v>1</v>
      </c>
      <c r="J225" s="9">
        <f>IF(Source!BA142&lt;&gt; 0, Source!BA142, 1)</f>
        <v>1</v>
      </c>
      <c r="K225" s="21">
        <f>Source!S142</f>
        <v>2000.7</v>
      </c>
      <c r="L225" s="21"/>
    </row>
    <row r="226" spans="1:22" ht="14.25" x14ac:dyDescent="0.2">
      <c r="A226" s="18"/>
      <c r="B226" s="18"/>
      <c r="C226" s="18"/>
      <c r="D226" s="18" t="s">
        <v>464</v>
      </c>
      <c r="E226" s="19"/>
      <c r="F226" s="9"/>
      <c r="G226" s="21">
        <f>Source!AL142</f>
        <v>6.3</v>
      </c>
      <c r="H226" s="20" t="str">
        <f>Source!DD142</f>
        <v/>
      </c>
      <c r="I226" s="9">
        <f>Source!AW142</f>
        <v>1</v>
      </c>
      <c r="J226" s="9">
        <f>IF(Source!BC142&lt;&gt; 0, Source!BC142, 1)</f>
        <v>1</v>
      </c>
      <c r="K226" s="21">
        <f>Source!P142</f>
        <v>113.4</v>
      </c>
      <c r="L226" s="21"/>
    </row>
    <row r="227" spans="1:22" ht="14.25" x14ac:dyDescent="0.2">
      <c r="A227" s="18"/>
      <c r="B227" s="18"/>
      <c r="C227" s="18"/>
      <c r="D227" s="18" t="s">
        <v>465</v>
      </c>
      <c r="E227" s="19" t="s">
        <v>466</v>
      </c>
      <c r="F227" s="9">
        <f>Source!AT142</f>
        <v>70</v>
      </c>
      <c r="G227" s="21"/>
      <c r="H227" s="20"/>
      <c r="I227" s="9"/>
      <c r="J227" s="9"/>
      <c r="K227" s="21">
        <f>SUM(R223:R226)</f>
        <v>1400.49</v>
      </c>
      <c r="L227" s="21"/>
    </row>
    <row r="228" spans="1:22" ht="14.25" x14ac:dyDescent="0.2">
      <c r="A228" s="18"/>
      <c r="B228" s="18"/>
      <c r="C228" s="18"/>
      <c r="D228" s="18" t="s">
        <v>467</v>
      </c>
      <c r="E228" s="19" t="s">
        <v>466</v>
      </c>
      <c r="F228" s="9">
        <f>Source!AU142</f>
        <v>10</v>
      </c>
      <c r="G228" s="21"/>
      <c r="H228" s="20"/>
      <c r="I228" s="9"/>
      <c r="J228" s="9"/>
      <c r="K228" s="21">
        <f>SUM(T223:T227)</f>
        <v>200.07</v>
      </c>
      <c r="L228" s="21"/>
    </row>
    <row r="229" spans="1:22" ht="14.25" x14ac:dyDescent="0.2">
      <c r="A229" s="18"/>
      <c r="B229" s="18"/>
      <c r="C229" s="18"/>
      <c r="D229" s="18" t="s">
        <v>469</v>
      </c>
      <c r="E229" s="19" t="s">
        <v>470</v>
      </c>
      <c r="F229" s="9">
        <f>Source!AQ142</f>
        <v>0.18</v>
      </c>
      <c r="G229" s="21"/>
      <c r="H229" s="20" t="str">
        <f>Source!DI142</f>
        <v/>
      </c>
      <c r="I229" s="9">
        <f>Source!AV142</f>
        <v>1</v>
      </c>
      <c r="J229" s="9"/>
      <c r="K229" s="21"/>
      <c r="L229" s="21">
        <f>Source!U142</f>
        <v>3.2399999999999998</v>
      </c>
    </row>
    <row r="230" spans="1:22" ht="15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53">
        <f>K225+K226+K227+K228</f>
        <v>3714.6600000000003</v>
      </c>
      <c r="K230" s="53"/>
      <c r="L230" s="27">
        <f>IF(Source!I142&lt;&gt;0, ROUND(J230/Source!I142, 2), 0)</f>
        <v>206.37</v>
      </c>
      <c r="P230" s="24">
        <f>J230</f>
        <v>3714.6600000000003</v>
      </c>
    </row>
    <row r="231" spans="1:22" ht="57" x14ac:dyDescent="0.2">
      <c r="A231" s="18">
        <v>22</v>
      </c>
      <c r="B231" s="18">
        <v>22</v>
      </c>
      <c r="C231" s="18" t="str">
        <f>Source!F144</f>
        <v>1.21-2103-9-2/1</v>
      </c>
      <c r="D231" s="18" t="str">
        <f>Source!G144</f>
        <v>Техническое обслуживание силовых сетей, проложенных по кирпичным и бетонным основаниям, провод сечением 3х1,5-6 мм2 / прим. 3х2,5</v>
      </c>
      <c r="E231" s="19" t="str">
        <f>Source!H144</f>
        <v>100 м</v>
      </c>
      <c r="F231" s="9">
        <f>Source!I144</f>
        <v>0.18</v>
      </c>
      <c r="G231" s="21"/>
      <c r="H231" s="20"/>
      <c r="I231" s="9"/>
      <c r="J231" s="9"/>
      <c r="K231" s="21"/>
      <c r="L231" s="21"/>
      <c r="Q231">
        <f>ROUND((Source!BZ144/100)*ROUND((Source!AF144*Source!AV144)*Source!I144, 2), 2)</f>
        <v>674.5</v>
      </c>
      <c r="R231">
        <f>Source!X144</f>
        <v>674.5</v>
      </c>
      <c r="S231">
        <f>ROUND((Source!CA144/100)*ROUND((Source!AF144*Source!AV144)*Source!I144, 2), 2)</f>
        <v>96.36</v>
      </c>
      <c r="T231">
        <f>Source!Y144</f>
        <v>96.36</v>
      </c>
      <c r="U231">
        <f>ROUND((175/100)*ROUND((Source!AE144*Source!AV144)*Source!I144, 2), 2)</f>
        <v>0</v>
      </c>
      <c r="V231">
        <f>ROUND((108/100)*ROUND(Source!CS144*Source!I144, 2), 2)</f>
        <v>0</v>
      </c>
    </row>
    <row r="232" spans="1:22" x14ac:dyDescent="0.2">
      <c r="D232" s="22" t="str">
        <f>"Объем: "&amp;Source!I144&amp;"=(60*"&amp;"15)*"&amp;"0,2*"&amp;"0,1/"&amp;"100"</f>
        <v>Объем: 0,18=(60*15)*0,2*0,1/100</v>
      </c>
    </row>
    <row r="233" spans="1:22" ht="14.25" x14ac:dyDescent="0.2">
      <c r="A233" s="18"/>
      <c r="B233" s="18"/>
      <c r="C233" s="18"/>
      <c r="D233" s="18" t="s">
        <v>461</v>
      </c>
      <c r="E233" s="19"/>
      <c r="F233" s="9"/>
      <c r="G233" s="21">
        <f>Source!AO144</f>
        <v>5353.15</v>
      </c>
      <c r="H233" s="20" t="str">
        <f>Source!DG144</f>
        <v/>
      </c>
      <c r="I233" s="9">
        <f>Source!AV144</f>
        <v>1</v>
      </c>
      <c r="J233" s="9">
        <f>IF(Source!BA144&lt;&gt; 0, Source!BA144, 1)</f>
        <v>1</v>
      </c>
      <c r="K233" s="21">
        <f>Source!S144</f>
        <v>963.57</v>
      </c>
      <c r="L233" s="21"/>
    </row>
    <row r="234" spans="1:22" ht="14.25" x14ac:dyDescent="0.2">
      <c r="A234" s="18"/>
      <c r="B234" s="18"/>
      <c r="C234" s="18"/>
      <c r="D234" s="18" t="s">
        <v>464</v>
      </c>
      <c r="E234" s="19"/>
      <c r="F234" s="9"/>
      <c r="G234" s="21">
        <f>Source!AL144</f>
        <v>22.51</v>
      </c>
      <c r="H234" s="20" t="str">
        <f>Source!DD144</f>
        <v/>
      </c>
      <c r="I234" s="9">
        <f>Source!AW144</f>
        <v>1</v>
      </c>
      <c r="J234" s="9">
        <f>IF(Source!BC144&lt;&gt; 0, Source!BC144, 1)</f>
        <v>1</v>
      </c>
      <c r="K234" s="21">
        <f>Source!P144</f>
        <v>4.05</v>
      </c>
      <c r="L234" s="21"/>
    </row>
    <row r="235" spans="1:22" ht="14.25" x14ac:dyDescent="0.2">
      <c r="A235" s="18"/>
      <c r="B235" s="18"/>
      <c r="C235" s="18"/>
      <c r="D235" s="18" t="s">
        <v>465</v>
      </c>
      <c r="E235" s="19" t="s">
        <v>466</v>
      </c>
      <c r="F235" s="9">
        <f>Source!AT144</f>
        <v>70</v>
      </c>
      <c r="G235" s="21"/>
      <c r="H235" s="20"/>
      <c r="I235" s="9"/>
      <c r="J235" s="9"/>
      <c r="K235" s="21">
        <f>SUM(R231:R234)</f>
        <v>674.5</v>
      </c>
      <c r="L235" s="21"/>
    </row>
    <row r="236" spans="1:22" ht="14.25" x14ac:dyDescent="0.2">
      <c r="A236" s="18"/>
      <c r="B236" s="18"/>
      <c r="C236" s="18"/>
      <c r="D236" s="18" t="s">
        <v>467</v>
      </c>
      <c r="E236" s="19" t="s">
        <v>466</v>
      </c>
      <c r="F236" s="9">
        <f>Source!AU144</f>
        <v>10</v>
      </c>
      <c r="G236" s="21"/>
      <c r="H236" s="20"/>
      <c r="I236" s="9"/>
      <c r="J236" s="9"/>
      <c r="K236" s="21">
        <f>SUM(T231:T235)</f>
        <v>96.36</v>
      </c>
      <c r="L236" s="21"/>
    </row>
    <row r="237" spans="1:22" ht="14.25" x14ac:dyDescent="0.2">
      <c r="A237" s="18"/>
      <c r="B237" s="18"/>
      <c r="C237" s="18"/>
      <c r="D237" s="18" t="s">
        <v>469</v>
      </c>
      <c r="E237" s="19" t="s">
        <v>470</v>
      </c>
      <c r="F237" s="9">
        <f>Source!AQ144</f>
        <v>10</v>
      </c>
      <c r="G237" s="21"/>
      <c r="H237" s="20" t="str">
        <f>Source!DI144</f>
        <v/>
      </c>
      <c r="I237" s="9">
        <f>Source!AV144</f>
        <v>1</v>
      </c>
      <c r="J237" s="9"/>
      <c r="K237" s="21"/>
      <c r="L237" s="21">
        <f>Source!U144</f>
        <v>1.7999999999999998</v>
      </c>
    </row>
    <row r="238" spans="1:22" ht="15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53">
        <f>K233+K234+K235+K236</f>
        <v>1738.4799999999998</v>
      </c>
      <c r="K238" s="53"/>
      <c r="L238" s="27">
        <f>IF(Source!I144&lt;&gt;0, ROUND(J238/Source!I144, 2), 0)</f>
        <v>9658.2199999999993</v>
      </c>
      <c r="P238" s="24">
        <f>J238</f>
        <v>1738.4799999999998</v>
      </c>
    </row>
    <row r="239" spans="1:22" ht="57" x14ac:dyDescent="0.2">
      <c r="A239" s="18">
        <v>23</v>
      </c>
      <c r="B239" s="18">
        <v>23</v>
      </c>
      <c r="C239" s="18" t="str">
        <f>Source!F146</f>
        <v>1.21-2103-9-2/1</v>
      </c>
      <c r="D239" s="18" t="str">
        <f>Source!G146</f>
        <v>Техническое обслуживание силовых сетей, проложенных по кирпичным и бетонным основаниям, провод сечением 3х1,5-6 мм2</v>
      </c>
      <c r="E239" s="19" t="str">
        <f>Source!H146</f>
        <v>100 м</v>
      </c>
      <c r="F239" s="9">
        <f>Source!I146</f>
        <v>0.15</v>
      </c>
      <c r="G239" s="21"/>
      <c r="H239" s="20"/>
      <c r="I239" s="9"/>
      <c r="J239" s="9"/>
      <c r="K239" s="21"/>
      <c r="L239" s="21"/>
      <c r="Q239">
        <f>ROUND((Source!BZ146/100)*ROUND((Source!AF146*Source!AV146)*Source!I146, 2), 2)</f>
        <v>562.08000000000004</v>
      </c>
      <c r="R239">
        <f>Source!X146</f>
        <v>562.08000000000004</v>
      </c>
      <c r="S239">
        <f>ROUND((Source!CA146/100)*ROUND((Source!AF146*Source!AV146)*Source!I146, 2), 2)</f>
        <v>80.3</v>
      </c>
      <c r="T239">
        <f>Source!Y146</f>
        <v>80.3</v>
      </c>
      <c r="U239">
        <f>ROUND((175/100)*ROUND((Source!AE146*Source!AV146)*Source!I146, 2), 2)</f>
        <v>0</v>
      </c>
      <c r="V239">
        <f>ROUND((108/100)*ROUND(Source!CS146*Source!I146, 2), 2)</f>
        <v>0</v>
      </c>
    </row>
    <row r="240" spans="1:22" x14ac:dyDescent="0.2">
      <c r="D240" s="22" t="str">
        <f>"Объем: "&amp;Source!I146&amp;"=(50*"&amp;"15)*"&amp;"0,2*"&amp;"0,1/"&amp;"100"</f>
        <v>Объем: 0,15=(50*15)*0,2*0,1/100</v>
      </c>
    </row>
    <row r="241" spans="1:16" ht="14.25" x14ac:dyDescent="0.2">
      <c r="A241" s="18"/>
      <c r="B241" s="18"/>
      <c r="C241" s="18"/>
      <c r="D241" s="18" t="s">
        <v>461</v>
      </c>
      <c r="E241" s="19"/>
      <c r="F241" s="9"/>
      <c r="G241" s="21">
        <f>Source!AO146</f>
        <v>5353.15</v>
      </c>
      <c r="H241" s="20" t="str">
        <f>Source!DG146</f>
        <v/>
      </c>
      <c r="I241" s="9">
        <f>Source!AV146</f>
        <v>1</v>
      </c>
      <c r="J241" s="9">
        <f>IF(Source!BA146&lt;&gt; 0, Source!BA146, 1)</f>
        <v>1</v>
      </c>
      <c r="K241" s="21">
        <f>Source!S146</f>
        <v>802.97</v>
      </c>
      <c r="L241" s="21"/>
    </row>
    <row r="242" spans="1:16" ht="14.25" x14ac:dyDescent="0.2">
      <c r="A242" s="18"/>
      <c r="B242" s="18"/>
      <c r="C242" s="18"/>
      <c r="D242" s="18" t="s">
        <v>464</v>
      </c>
      <c r="E242" s="19"/>
      <c r="F242" s="9"/>
      <c r="G242" s="21">
        <f>Source!AL146</f>
        <v>22.51</v>
      </c>
      <c r="H242" s="20" t="str">
        <f>Source!DD146</f>
        <v/>
      </c>
      <c r="I242" s="9">
        <f>Source!AW146</f>
        <v>1</v>
      </c>
      <c r="J242" s="9">
        <f>IF(Source!BC146&lt;&gt; 0, Source!BC146, 1)</f>
        <v>1</v>
      </c>
      <c r="K242" s="21">
        <f>Source!P146</f>
        <v>3.38</v>
      </c>
      <c r="L242" s="21"/>
    </row>
    <row r="243" spans="1:16" ht="14.25" x14ac:dyDescent="0.2">
      <c r="A243" s="18"/>
      <c r="B243" s="18"/>
      <c r="C243" s="18"/>
      <c r="D243" s="18" t="s">
        <v>465</v>
      </c>
      <c r="E243" s="19" t="s">
        <v>466</v>
      </c>
      <c r="F243" s="9">
        <f>Source!AT146</f>
        <v>70</v>
      </c>
      <c r="G243" s="21"/>
      <c r="H243" s="20"/>
      <c r="I243" s="9"/>
      <c r="J243" s="9"/>
      <c r="K243" s="21">
        <f>SUM(R239:R242)</f>
        <v>562.08000000000004</v>
      </c>
      <c r="L243" s="21"/>
    </row>
    <row r="244" spans="1:16" ht="14.25" x14ac:dyDescent="0.2">
      <c r="A244" s="18"/>
      <c r="B244" s="18"/>
      <c r="C244" s="18"/>
      <c r="D244" s="18" t="s">
        <v>467</v>
      </c>
      <c r="E244" s="19" t="s">
        <v>466</v>
      </c>
      <c r="F244" s="9">
        <f>Source!AU146</f>
        <v>10</v>
      </c>
      <c r="G244" s="21"/>
      <c r="H244" s="20"/>
      <c r="I244" s="9"/>
      <c r="J244" s="9"/>
      <c r="K244" s="21">
        <f>SUM(T239:T243)</f>
        <v>80.3</v>
      </c>
      <c r="L244" s="21"/>
    </row>
    <row r="245" spans="1:16" ht="14.25" x14ac:dyDescent="0.2">
      <c r="A245" s="18"/>
      <c r="B245" s="18"/>
      <c r="C245" s="18"/>
      <c r="D245" s="18" t="s">
        <v>469</v>
      </c>
      <c r="E245" s="19" t="s">
        <v>470</v>
      </c>
      <c r="F245" s="9">
        <f>Source!AQ146</f>
        <v>10</v>
      </c>
      <c r="G245" s="21"/>
      <c r="H245" s="20" t="str">
        <f>Source!DI146</f>
        <v/>
      </c>
      <c r="I245" s="9">
        <f>Source!AV146</f>
        <v>1</v>
      </c>
      <c r="J245" s="9"/>
      <c r="K245" s="21"/>
      <c r="L245" s="21">
        <f>Source!U146</f>
        <v>1.5</v>
      </c>
    </row>
    <row r="246" spans="1:16" ht="15" x14ac:dyDescent="0.25">
      <c r="A246" s="26"/>
      <c r="B246" s="26"/>
      <c r="C246" s="26"/>
      <c r="D246" s="26"/>
      <c r="E246" s="26"/>
      <c r="F246" s="26"/>
      <c r="G246" s="26"/>
      <c r="H246" s="26"/>
      <c r="I246" s="26"/>
      <c r="J246" s="53">
        <f>K241+K242+K243+K244</f>
        <v>1448.73</v>
      </c>
      <c r="K246" s="53"/>
      <c r="L246" s="27">
        <f>IF(Source!I146&lt;&gt;0, ROUND(J246/Source!I146, 2), 0)</f>
        <v>9658.2000000000007</v>
      </c>
      <c r="P246" s="24">
        <f>J246</f>
        <v>1448.73</v>
      </c>
    </row>
    <row r="248" spans="1:16" ht="15" x14ac:dyDescent="0.25">
      <c r="A248" s="57" t="str">
        <f>CONCATENATE("Итого по подразделу: ",IF(Source!G149&lt;&gt;"Новый подраздел", Source!G149, ""))</f>
        <v>Итого по подразделу: Электрооборудование каждого модуля</v>
      </c>
      <c r="B248" s="57"/>
      <c r="C248" s="57"/>
      <c r="D248" s="57"/>
      <c r="E248" s="57"/>
      <c r="F248" s="57"/>
      <c r="G248" s="57"/>
      <c r="H248" s="57"/>
      <c r="I248" s="57"/>
      <c r="J248" s="55">
        <f>SUM(P150:P247)</f>
        <v>645911.53</v>
      </c>
      <c r="K248" s="56"/>
      <c r="L248" s="28"/>
    </row>
    <row r="251" spans="1:16" ht="15" x14ac:dyDescent="0.25">
      <c r="A251" s="57" t="str">
        <f>CONCATENATE("Итого по разделу: ",IF(Source!G179&lt;&gt;"Новый раздел", Source!G179, ""))</f>
        <v>Итого по разделу: Туалетные модули 3 кабины в блоке. (15 модулей.)</v>
      </c>
      <c r="B251" s="57"/>
      <c r="C251" s="57"/>
      <c r="D251" s="57"/>
      <c r="E251" s="57"/>
      <c r="F251" s="57"/>
      <c r="G251" s="57"/>
      <c r="H251" s="57"/>
      <c r="I251" s="57"/>
      <c r="J251" s="55">
        <f>SUM(P40:P250)</f>
        <v>1096948.2099999997</v>
      </c>
      <c r="K251" s="56"/>
      <c r="L251" s="28"/>
    </row>
    <row r="254" spans="1:16" ht="16.5" x14ac:dyDescent="0.25">
      <c r="A254" s="54" t="str">
        <f>CONCATENATE("Раздел: ",IF(Source!G209&lt;&gt;"Новый раздел", Source!G209, ""))</f>
        <v>Раздел: Туалетный модуль 2 кабины (4 шт.)</v>
      </c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</row>
    <row r="256" spans="1:16" ht="16.5" x14ac:dyDescent="0.25">
      <c r="A256" s="54" t="str">
        <f>CONCATENATE("Подраздел: ",IF(Source!G213&lt;&gt;"Новый подраздел", Source!G213, ""))</f>
        <v>Подраздел: Оборудование водоснабжения и водоотведения</v>
      </c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</row>
    <row r="257" spans="1:22" ht="28.5" x14ac:dyDescent="0.2">
      <c r="A257" s="18">
        <v>24</v>
      </c>
      <c r="B257" s="18">
        <v>24</v>
      </c>
      <c r="C257" s="18" t="str">
        <f>Source!F219</f>
        <v>1.16-3201-2-1/1</v>
      </c>
      <c r="D257" s="18" t="str">
        <f>Source!G219</f>
        <v>Укрепление расшатавшихся санитарно-технических приборов - умывальники</v>
      </c>
      <c r="E257" s="19" t="str">
        <f>Source!H219</f>
        <v>100 шт.</v>
      </c>
      <c r="F257" s="9">
        <f>Source!I219</f>
        <v>0.08</v>
      </c>
      <c r="G257" s="21"/>
      <c r="H257" s="20"/>
      <c r="I257" s="9"/>
      <c r="J257" s="9"/>
      <c r="K257" s="21"/>
      <c r="L257" s="21"/>
      <c r="Q257">
        <f>ROUND((Source!BZ219/100)*ROUND((Source!AF219*Source!AV219)*Source!I219, 2), 2)</f>
        <v>2964.38</v>
      </c>
      <c r="R257">
        <f>Source!X219</f>
        <v>2964.38</v>
      </c>
      <c r="S257">
        <f>ROUND((Source!CA219/100)*ROUND((Source!AF219*Source!AV219)*Source!I219, 2), 2)</f>
        <v>423.48</v>
      </c>
      <c r="T257">
        <f>Source!Y219</f>
        <v>423.48</v>
      </c>
      <c r="U257">
        <f>ROUND((175/100)*ROUND((Source!AE219*Source!AV219)*Source!I219, 2), 2)</f>
        <v>0.11</v>
      </c>
      <c r="V257">
        <f>ROUND((108/100)*ROUND(Source!CS219*Source!I219, 2), 2)</f>
        <v>0.06</v>
      </c>
    </row>
    <row r="258" spans="1:22" x14ac:dyDescent="0.2">
      <c r="D258" s="22" t="str">
        <f>"Объем: "&amp;Source!I219&amp;"=(2*"&amp;"4)/"&amp;"100"</f>
        <v>Объем: 0,08=(2*4)/100</v>
      </c>
    </row>
    <row r="259" spans="1:22" ht="14.25" x14ac:dyDescent="0.2">
      <c r="A259" s="18"/>
      <c r="B259" s="18"/>
      <c r="C259" s="18"/>
      <c r="D259" s="18" t="s">
        <v>461</v>
      </c>
      <c r="E259" s="19"/>
      <c r="F259" s="9"/>
      <c r="G259" s="21">
        <f>Source!AO219</f>
        <v>52935.41</v>
      </c>
      <c r="H259" s="20" t="str">
        <f>Source!DG219</f>
        <v/>
      </c>
      <c r="I259" s="9">
        <f>Source!AV219</f>
        <v>1</v>
      </c>
      <c r="J259" s="9">
        <f>IF(Source!BA219&lt;&gt; 0, Source!BA219, 1)</f>
        <v>1</v>
      </c>
      <c r="K259" s="21">
        <f>Source!S219</f>
        <v>4234.83</v>
      </c>
      <c r="L259" s="21"/>
    </row>
    <row r="260" spans="1:22" ht="14.25" x14ac:dyDescent="0.2">
      <c r="A260" s="18"/>
      <c r="B260" s="18"/>
      <c r="C260" s="18"/>
      <c r="D260" s="18" t="s">
        <v>462</v>
      </c>
      <c r="E260" s="19"/>
      <c r="F260" s="9"/>
      <c r="G260" s="21">
        <f>Source!AM219</f>
        <v>61.83</v>
      </c>
      <c r="H260" s="20" t="str">
        <f>Source!DE219</f>
        <v/>
      </c>
      <c r="I260" s="9">
        <f>Source!AV219</f>
        <v>1</v>
      </c>
      <c r="J260" s="9">
        <f>IF(Source!BB219&lt;&gt; 0, Source!BB219, 1)</f>
        <v>1</v>
      </c>
      <c r="K260" s="21">
        <f>Source!Q219</f>
        <v>4.95</v>
      </c>
      <c r="L260" s="21"/>
    </row>
    <row r="261" spans="1:22" ht="14.25" x14ac:dyDescent="0.2">
      <c r="A261" s="18"/>
      <c r="B261" s="18"/>
      <c r="C261" s="18"/>
      <c r="D261" s="18" t="s">
        <v>463</v>
      </c>
      <c r="E261" s="19"/>
      <c r="F261" s="9"/>
      <c r="G261" s="21">
        <f>Source!AN219</f>
        <v>0.7</v>
      </c>
      <c r="H261" s="20" t="str">
        <f>Source!DF219</f>
        <v/>
      </c>
      <c r="I261" s="9">
        <f>Source!AV219</f>
        <v>1</v>
      </c>
      <c r="J261" s="9">
        <f>IF(Source!BS219&lt;&gt; 0, Source!BS219, 1)</f>
        <v>1</v>
      </c>
      <c r="K261" s="23">
        <f>Source!R219</f>
        <v>0.06</v>
      </c>
      <c r="L261" s="21"/>
    </row>
    <row r="262" spans="1:22" ht="14.25" x14ac:dyDescent="0.2">
      <c r="A262" s="18"/>
      <c r="B262" s="18"/>
      <c r="C262" s="18"/>
      <c r="D262" s="18" t="s">
        <v>464</v>
      </c>
      <c r="E262" s="19"/>
      <c r="F262" s="9"/>
      <c r="G262" s="21">
        <f>Source!AL219</f>
        <v>776.55</v>
      </c>
      <c r="H262" s="20" t="str">
        <f>Source!DD219</f>
        <v/>
      </c>
      <c r="I262" s="9">
        <f>Source!AW219</f>
        <v>1</v>
      </c>
      <c r="J262" s="9">
        <f>IF(Source!BC219&lt;&gt; 0, Source!BC219, 1)</f>
        <v>1</v>
      </c>
      <c r="K262" s="21">
        <f>Source!P219</f>
        <v>62.12</v>
      </c>
      <c r="L262" s="21"/>
    </row>
    <row r="263" spans="1:22" ht="14.25" x14ac:dyDescent="0.2">
      <c r="A263" s="18"/>
      <c r="B263" s="18"/>
      <c r="C263" s="18"/>
      <c r="D263" s="18" t="s">
        <v>465</v>
      </c>
      <c r="E263" s="19" t="s">
        <v>466</v>
      </c>
      <c r="F263" s="9">
        <f>Source!AT219</f>
        <v>70</v>
      </c>
      <c r="G263" s="21"/>
      <c r="H263" s="20"/>
      <c r="I263" s="9"/>
      <c r="J263" s="9"/>
      <c r="K263" s="21">
        <f>SUM(R257:R262)</f>
        <v>2964.38</v>
      </c>
      <c r="L263" s="21"/>
    </row>
    <row r="264" spans="1:22" ht="14.25" x14ac:dyDescent="0.2">
      <c r="A264" s="18"/>
      <c r="B264" s="18"/>
      <c r="C264" s="18"/>
      <c r="D264" s="18" t="s">
        <v>467</v>
      </c>
      <c r="E264" s="19" t="s">
        <v>466</v>
      </c>
      <c r="F264" s="9">
        <f>Source!AU219</f>
        <v>10</v>
      </c>
      <c r="G264" s="21"/>
      <c r="H264" s="20"/>
      <c r="I264" s="9"/>
      <c r="J264" s="9"/>
      <c r="K264" s="21">
        <f>SUM(T257:T263)</f>
        <v>423.48</v>
      </c>
      <c r="L264" s="21"/>
    </row>
    <row r="265" spans="1:22" ht="14.25" x14ac:dyDescent="0.2">
      <c r="A265" s="18"/>
      <c r="B265" s="18"/>
      <c r="C265" s="18"/>
      <c r="D265" s="18" t="s">
        <v>468</v>
      </c>
      <c r="E265" s="19" t="s">
        <v>466</v>
      </c>
      <c r="F265" s="9">
        <f>108</f>
        <v>108</v>
      </c>
      <c r="G265" s="21"/>
      <c r="H265" s="20"/>
      <c r="I265" s="9"/>
      <c r="J265" s="9"/>
      <c r="K265" s="21">
        <f>SUM(V257:V264)</f>
        <v>0.06</v>
      </c>
      <c r="L265" s="21"/>
    </row>
    <row r="266" spans="1:22" ht="14.25" x14ac:dyDescent="0.2">
      <c r="A266" s="18"/>
      <c r="B266" s="18"/>
      <c r="C266" s="18"/>
      <c r="D266" s="18" t="s">
        <v>469</v>
      </c>
      <c r="E266" s="19" t="s">
        <v>470</v>
      </c>
      <c r="F266" s="9">
        <f>Source!AQ219</f>
        <v>104.44</v>
      </c>
      <c r="G266" s="21"/>
      <c r="H266" s="20" t="str">
        <f>Source!DI219</f>
        <v/>
      </c>
      <c r="I266" s="9">
        <f>Source!AV219</f>
        <v>1</v>
      </c>
      <c r="J266" s="9"/>
      <c r="K266" s="21"/>
      <c r="L266" s="21">
        <f>Source!U219</f>
        <v>8.3552</v>
      </c>
    </row>
    <row r="267" spans="1:22" ht="15" x14ac:dyDescent="0.25">
      <c r="A267" s="26"/>
      <c r="B267" s="26"/>
      <c r="C267" s="26"/>
      <c r="D267" s="26"/>
      <c r="E267" s="26"/>
      <c r="F267" s="26"/>
      <c r="G267" s="26"/>
      <c r="H267" s="26"/>
      <c r="I267" s="26"/>
      <c r="J267" s="53">
        <f>K259+K260+K262+K263+K264+K265</f>
        <v>7689.8200000000006</v>
      </c>
      <c r="K267" s="53"/>
      <c r="L267" s="27">
        <f>IF(Source!I219&lt;&gt;0, ROUND(J267/Source!I219, 2), 0)</f>
        <v>96122.75</v>
      </c>
      <c r="P267" s="24">
        <f>J267</f>
        <v>7689.8200000000006</v>
      </c>
    </row>
    <row r="268" spans="1:22" ht="42.75" x14ac:dyDescent="0.2">
      <c r="A268" s="18">
        <v>25</v>
      </c>
      <c r="B268" s="18">
        <v>25</v>
      </c>
      <c r="C268" s="18" t="str">
        <f>Source!F220</f>
        <v>1.16-3201-2-2/1</v>
      </c>
      <c r="D268" s="18" t="str">
        <f>Source!G220</f>
        <v>Укрепление расшатавшихся санитарно-технических приборов - унитазы и биде</v>
      </c>
      <c r="E268" s="19" t="str">
        <f>Source!H220</f>
        <v>100 шт.</v>
      </c>
      <c r="F268" s="9">
        <f>Source!I220</f>
        <v>0.08</v>
      </c>
      <c r="G268" s="21"/>
      <c r="H268" s="20"/>
      <c r="I268" s="9"/>
      <c r="J268" s="9"/>
      <c r="K268" s="21"/>
      <c r="L268" s="21"/>
      <c r="Q268">
        <f>ROUND((Source!BZ220/100)*ROUND((Source!AF220*Source!AV220)*Source!I220, 2), 2)</f>
        <v>4312.32</v>
      </c>
      <c r="R268">
        <f>Source!X220</f>
        <v>4312.32</v>
      </c>
      <c r="S268">
        <f>ROUND((Source!CA220/100)*ROUND((Source!AF220*Source!AV220)*Source!I220, 2), 2)</f>
        <v>616.04999999999995</v>
      </c>
      <c r="T268">
        <f>Source!Y220</f>
        <v>616.04999999999995</v>
      </c>
      <c r="U268">
        <f>ROUND((175/100)*ROUND((Source!AE220*Source!AV220)*Source!I220, 2), 2)</f>
        <v>0.11</v>
      </c>
      <c r="V268">
        <f>ROUND((108/100)*ROUND(Source!CS220*Source!I220, 2), 2)</f>
        <v>0.06</v>
      </c>
    </row>
    <row r="269" spans="1:22" x14ac:dyDescent="0.2">
      <c r="D269" s="22" t="str">
        <f>"Объем: "&amp;Source!I220&amp;"=(2*"&amp;"4)/"&amp;"100"</f>
        <v>Объем: 0,08=(2*4)/100</v>
      </c>
    </row>
    <row r="270" spans="1:22" ht="14.25" x14ac:dyDescent="0.2">
      <c r="A270" s="18"/>
      <c r="B270" s="18"/>
      <c r="C270" s="18"/>
      <c r="D270" s="18" t="s">
        <v>461</v>
      </c>
      <c r="E270" s="19"/>
      <c r="F270" s="9"/>
      <c r="G270" s="21">
        <f>Source!AO220</f>
        <v>77005.72</v>
      </c>
      <c r="H270" s="20" t="str">
        <f>Source!DG220</f>
        <v/>
      </c>
      <c r="I270" s="9">
        <f>Source!AV220</f>
        <v>1</v>
      </c>
      <c r="J270" s="9">
        <f>IF(Source!BA220&lt;&gt; 0, Source!BA220, 1)</f>
        <v>1</v>
      </c>
      <c r="K270" s="21">
        <f>Source!S220</f>
        <v>6160.46</v>
      </c>
      <c r="L270" s="21"/>
    </row>
    <row r="271" spans="1:22" ht="14.25" x14ac:dyDescent="0.2">
      <c r="A271" s="18"/>
      <c r="B271" s="18"/>
      <c r="C271" s="18"/>
      <c r="D271" s="18" t="s">
        <v>462</v>
      </c>
      <c r="E271" s="19"/>
      <c r="F271" s="9"/>
      <c r="G271" s="21">
        <f>Source!AM220</f>
        <v>61.83</v>
      </c>
      <c r="H271" s="20" t="str">
        <f>Source!DE220</f>
        <v/>
      </c>
      <c r="I271" s="9">
        <f>Source!AV220</f>
        <v>1</v>
      </c>
      <c r="J271" s="9">
        <f>IF(Source!BB220&lt;&gt; 0, Source!BB220, 1)</f>
        <v>1</v>
      </c>
      <c r="K271" s="21">
        <f>Source!Q220</f>
        <v>4.95</v>
      </c>
      <c r="L271" s="21"/>
    </row>
    <row r="272" spans="1:22" ht="14.25" x14ac:dyDescent="0.2">
      <c r="A272" s="18"/>
      <c r="B272" s="18"/>
      <c r="C272" s="18"/>
      <c r="D272" s="18" t="s">
        <v>463</v>
      </c>
      <c r="E272" s="19"/>
      <c r="F272" s="9"/>
      <c r="G272" s="21">
        <f>Source!AN220</f>
        <v>0.7</v>
      </c>
      <c r="H272" s="20" t="str">
        <f>Source!DF220</f>
        <v/>
      </c>
      <c r="I272" s="9">
        <f>Source!AV220</f>
        <v>1</v>
      </c>
      <c r="J272" s="9">
        <f>IF(Source!BS220&lt;&gt; 0, Source!BS220, 1)</f>
        <v>1</v>
      </c>
      <c r="K272" s="23">
        <f>Source!R220</f>
        <v>0.06</v>
      </c>
      <c r="L272" s="21"/>
    </row>
    <row r="273" spans="1:22" ht="14.25" x14ac:dyDescent="0.2">
      <c r="A273" s="18"/>
      <c r="B273" s="18"/>
      <c r="C273" s="18"/>
      <c r="D273" s="18" t="s">
        <v>464</v>
      </c>
      <c r="E273" s="19"/>
      <c r="F273" s="9"/>
      <c r="G273" s="21">
        <f>Source!AL220</f>
        <v>776.55</v>
      </c>
      <c r="H273" s="20" t="str">
        <f>Source!DD220</f>
        <v/>
      </c>
      <c r="I273" s="9">
        <f>Source!AW220</f>
        <v>1</v>
      </c>
      <c r="J273" s="9">
        <f>IF(Source!BC220&lt;&gt; 0, Source!BC220, 1)</f>
        <v>1</v>
      </c>
      <c r="K273" s="21">
        <f>Source!P220</f>
        <v>62.12</v>
      </c>
      <c r="L273" s="21"/>
    </row>
    <row r="274" spans="1:22" ht="14.25" x14ac:dyDescent="0.2">
      <c r="A274" s="18"/>
      <c r="B274" s="18"/>
      <c r="C274" s="18"/>
      <c r="D274" s="18" t="s">
        <v>465</v>
      </c>
      <c r="E274" s="19" t="s">
        <v>466</v>
      </c>
      <c r="F274" s="9">
        <f>Source!AT220</f>
        <v>70</v>
      </c>
      <c r="G274" s="21"/>
      <c r="H274" s="20"/>
      <c r="I274" s="9"/>
      <c r="J274" s="9"/>
      <c r="K274" s="21">
        <f>SUM(R268:R273)</f>
        <v>4312.32</v>
      </c>
      <c r="L274" s="21"/>
    </row>
    <row r="275" spans="1:22" ht="14.25" x14ac:dyDescent="0.2">
      <c r="A275" s="18"/>
      <c r="B275" s="18"/>
      <c r="C275" s="18"/>
      <c r="D275" s="18" t="s">
        <v>467</v>
      </c>
      <c r="E275" s="19" t="s">
        <v>466</v>
      </c>
      <c r="F275" s="9">
        <f>Source!AU220</f>
        <v>10</v>
      </c>
      <c r="G275" s="21"/>
      <c r="H275" s="20"/>
      <c r="I275" s="9"/>
      <c r="J275" s="9"/>
      <c r="K275" s="21">
        <f>SUM(T268:T274)</f>
        <v>616.04999999999995</v>
      </c>
      <c r="L275" s="21"/>
    </row>
    <row r="276" spans="1:22" ht="14.25" x14ac:dyDescent="0.2">
      <c r="A276" s="18"/>
      <c r="B276" s="18"/>
      <c r="C276" s="18"/>
      <c r="D276" s="18" t="s">
        <v>468</v>
      </c>
      <c r="E276" s="19" t="s">
        <v>466</v>
      </c>
      <c r="F276" s="9">
        <f>108</f>
        <v>108</v>
      </c>
      <c r="G276" s="21"/>
      <c r="H276" s="20"/>
      <c r="I276" s="9"/>
      <c r="J276" s="9"/>
      <c r="K276" s="21">
        <f>SUM(V268:V275)</f>
        <v>0.06</v>
      </c>
      <c r="L276" s="21"/>
    </row>
    <row r="277" spans="1:22" ht="14.25" x14ac:dyDescent="0.2">
      <c r="A277" s="18"/>
      <c r="B277" s="18"/>
      <c r="C277" s="18"/>
      <c r="D277" s="18" t="s">
        <v>469</v>
      </c>
      <c r="E277" s="19" t="s">
        <v>470</v>
      </c>
      <c r="F277" s="9">
        <f>Source!AQ220</f>
        <v>151.93</v>
      </c>
      <c r="G277" s="21"/>
      <c r="H277" s="20" t="str">
        <f>Source!DI220</f>
        <v/>
      </c>
      <c r="I277" s="9">
        <f>Source!AV220</f>
        <v>1</v>
      </c>
      <c r="J277" s="9"/>
      <c r="K277" s="21"/>
      <c r="L277" s="21">
        <f>Source!U220</f>
        <v>12.154400000000001</v>
      </c>
    </row>
    <row r="278" spans="1:22" ht="15" x14ac:dyDescent="0.25">
      <c r="A278" s="26"/>
      <c r="B278" s="26"/>
      <c r="C278" s="26"/>
      <c r="D278" s="26"/>
      <c r="E278" s="26"/>
      <c r="F278" s="26"/>
      <c r="G278" s="26"/>
      <c r="H278" s="26"/>
      <c r="I278" s="26"/>
      <c r="J278" s="53">
        <f>K270+K271+K273+K274+K275+K276</f>
        <v>11155.959999999997</v>
      </c>
      <c r="K278" s="53"/>
      <c r="L278" s="27">
        <f>IF(Source!I220&lt;&gt;0, ROUND(J278/Source!I220, 2), 0)</f>
        <v>139449.5</v>
      </c>
      <c r="P278" s="24">
        <f>J278</f>
        <v>11155.959999999997</v>
      </c>
    </row>
    <row r="279" spans="1:22" ht="42.75" x14ac:dyDescent="0.2">
      <c r="A279" s="18">
        <v>26</v>
      </c>
      <c r="B279" s="18">
        <v>26</v>
      </c>
      <c r="C279" s="18" t="str">
        <f>Source!F224</f>
        <v>1.23-2103-41-1/1</v>
      </c>
      <c r="D279" s="18" t="str">
        <f>Source!G224</f>
        <v>Техническое обслуживание регулирующего клапана / Смеситель для раковины</v>
      </c>
      <c r="E279" s="19" t="str">
        <f>Source!H224</f>
        <v>шт.</v>
      </c>
      <c r="F279" s="9">
        <f>Source!I224</f>
        <v>8</v>
      </c>
      <c r="G279" s="21"/>
      <c r="H279" s="20"/>
      <c r="I279" s="9"/>
      <c r="J279" s="9"/>
      <c r="K279" s="21"/>
      <c r="L279" s="21"/>
      <c r="Q279">
        <f>ROUND((Source!BZ224/100)*ROUND((Source!AF224*Source!AV224)*Source!I224, 2), 2)</f>
        <v>1164.8</v>
      </c>
      <c r="R279">
        <f>Source!X224</f>
        <v>1164.8</v>
      </c>
      <c r="S279">
        <f>ROUND((Source!CA224/100)*ROUND((Source!AF224*Source!AV224)*Source!I224, 2), 2)</f>
        <v>166.4</v>
      </c>
      <c r="T279">
        <f>Source!Y224</f>
        <v>166.4</v>
      </c>
      <c r="U279">
        <f>ROUND((175/100)*ROUND((Source!AE224*Source!AV224)*Source!I224, 2), 2)</f>
        <v>693.98</v>
      </c>
      <c r="V279">
        <f>ROUND((108/100)*ROUND(Source!CS224*Source!I224, 2), 2)</f>
        <v>428.28</v>
      </c>
    </row>
    <row r="280" spans="1:22" x14ac:dyDescent="0.2">
      <c r="D280" s="22" t="str">
        <f>"Объем: "&amp;Source!I224&amp;"=(2)*"&amp;"4"</f>
        <v>Объем: 8=(2)*4</v>
      </c>
    </row>
    <row r="281" spans="1:22" ht="14.25" x14ac:dyDescent="0.2">
      <c r="A281" s="18"/>
      <c r="B281" s="18"/>
      <c r="C281" s="18"/>
      <c r="D281" s="18" t="s">
        <v>461</v>
      </c>
      <c r="E281" s="19"/>
      <c r="F281" s="9"/>
      <c r="G281" s="21">
        <f>Source!AO224</f>
        <v>208</v>
      </c>
      <c r="H281" s="20" t="str">
        <f>Source!DG224</f>
        <v/>
      </c>
      <c r="I281" s="9">
        <f>Source!AV224</f>
        <v>1</v>
      </c>
      <c r="J281" s="9">
        <f>IF(Source!BA224&lt;&gt; 0, Source!BA224, 1)</f>
        <v>1</v>
      </c>
      <c r="K281" s="21">
        <f>Source!S224</f>
        <v>1664</v>
      </c>
      <c r="L281" s="21"/>
    </row>
    <row r="282" spans="1:22" ht="14.25" x14ac:dyDescent="0.2">
      <c r="A282" s="18"/>
      <c r="B282" s="18"/>
      <c r="C282" s="18"/>
      <c r="D282" s="18" t="s">
        <v>462</v>
      </c>
      <c r="E282" s="19"/>
      <c r="F282" s="9"/>
      <c r="G282" s="21">
        <f>Source!AM224</f>
        <v>78.180000000000007</v>
      </c>
      <c r="H282" s="20" t="str">
        <f>Source!DE224</f>
        <v/>
      </c>
      <c r="I282" s="9">
        <f>Source!AV224</f>
        <v>1</v>
      </c>
      <c r="J282" s="9">
        <f>IF(Source!BB224&lt;&gt; 0, Source!BB224, 1)</f>
        <v>1</v>
      </c>
      <c r="K282" s="21">
        <f>Source!Q224</f>
        <v>625.44000000000005</v>
      </c>
      <c r="L282" s="21"/>
    </row>
    <row r="283" spans="1:22" ht="14.25" x14ac:dyDescent="0.2">
      <c r="A283" s="18"/>
      <c r="B283" s="18"/>
      <c r="C283" s="18"/>
      <c r="D283" s="18" t="s">
        <v>463</v>
      </c>
      <c r="E283" s="19"/>
      <c r="F283" s="9"/>
      <c r="G283" s="21">
        <f>Source!AN224</f>
        <v>49.57</v>
      </c>
      <c r="H283" s="20" t="str">
        <f>Source!DF224</f>
        <v/>
      </c>
      <c r="I283" s="9">
        <f>Source!AV224</f>
        <v>1</v>
      </c>
      <c r="J283" s="9">
        <f>IF(Source!BS224&lt;&gt; 0, Source!BS224, 1)</f>
        <v>1</v>
      </c>
      <c r="K283" s="23">
        <f>Source!R224</f>
        <v>396.56</v>
      </c>
      <c r="L283" s="21"/>
    </row>
    <row r="284" spans="1:22" ht="14.25" x14ac:dyDescent="0.2">
      <c r="A284" s="18"/>
      <c r="B284" s="18"/>
      <c r="C284" s="18"/>
      <c r="D284" s="18" t="s">
        <v>465</v>
      </c>
      <c r="E284" s="19" t="s">
        <v>466</v>
      </c>
      <c r="F284" s="9">
        <f>Source!AT224</f>
        <v>70</v>
      </c>
      <c r="G284" s="21"/>
      <c r="H284" s="20"/>
      <c r="I284" s="9"/>
      <c r="J284" s="9"/>
      <c r="K284" s="21">
        <f>SUM(R279:R283)</f>
        <v>1164.8</v>
      </c>
      <c r="L284" s="21"/>
    </row>
    <row r="285" spans="1:22" ht="14.25" x14ac:dyDescent="0.2">
      <c r="A285" s="18"/>
      <c r="B285" s="18"/>
      <c r="C285" s="18"/>
      <c r="D285" s="18" t="s">
        <v>467</v>
      </c>
      <c r="E285" s="19" t="s">
        <v>466</v>
      </c>
      <c r="F285" s="9">
        <f>Source!AU224</f>
        <v>10</v>
      </c>
      <c r="G285" s="21"/>
      <c r="H285" s="20"/>
      <c r="I285" s="9"/>
      <c r="J285" s="9"/>
      <c r="K285" s="21">
        <f>SUM(T279:T284)</f>
        <v>166.4</v>
      </c>
      <c r="L285" s="21"/>
    </row>
    <row r="286" spans="1:22" ht="14.25" x14ac:dyDescent="0.2">
      <c r="A286" s="18"/>
      <c r="B286" s="18"/>
      <c r="C286" s="18"/>
      <c r="D286" s="18" t="s">
        <v>468</v>
      </c>
      <c r="E286" s="19" t="s">
        <v>466</v>
      </c>
      <c r="F286" s="9">
        <f>108</f>
        <v>108</v>
      </c>
      <c r="G286" s="21"/>
      <c r="H286" s="20"/>
      <c r="I286" s="9"/>
      <c r="J286" s="9"/>
      <c r="K286" s="21">
        <f>SUM(V279:V285)</f>
        <v>428.28</v>
      </c>
      <c r="L286" s="21"/>
    </row>
    <row r="287" spans="1:22" ht="14.25" x14ac:dyDescent="0.2">
      <c r="A287" s="18"/>
      <c r="B287" s="18"/>
      <c r="C287" s="18"/>
      <c r="D287" s="18" t="s">
        <v>469</v>
      </c>
      <c r="E287" s="19" t="s">
        <v>470</v>
      </c>
      <c r="F287" s="9">
        <f>Source!AQ224</f>
        <v>0.37</v>
      </c>
      <c r="G287" s="21"/>
      <c r="H287" s="20" t="str">
        <f>Source!DI224</f>
        <v/>
      </c>
      <c r="I287" s="9">
        <f>Source!AV224</f>
        <v>1</v>
      </c>
      <c r="J287" s="9"/>
      <c r="K287" s="21"/>
      <c r="L287" s="21">
        <f>Source!U224</f>
        <v>2.96</v>
      </c>
    </row>
    <row r="288" spans="1:22" ht="15" x14ac:dyDescent="0.25">
      <c r="A288" s="26"/>
      <c r="B288" s="26"/>
      <c r="C288" s="26"/>
      <c r="D288" s="26"/>
      <c r="E288" s="26"/>
      <c r="F288" s="26"/>
      <c r="G288" s="26"/>
      <c r="H288" s="26"/>
      <c r="I288" s="26"/>
      <c r="J288" s="53">
        <f>K281+K282+K284+K285+K286</f>
        <v>4048.92</v>
      </c>
      <c r="K288" s="53"/>
      <c r="L288" s="27">
        <f>IF(Source!I224&lt;&gt;0, ROUND(J288/Source!I224, 2), 0)</f>
        <v>506.12</v>
      </c>
      <c r="P288" s="24">
        <f>J288</f>
        <v>4048.92</v>
      </c>
    </row>
    <row r="289" spans="1:22" ht="28.5" x14ac:dyDescent="0.2">
      <c r="A289" s="18">
        <v>27</v>
      </c>
      <c r="B289" s="18">
        <v>27</v>
      </c>
      <c r="C289" s="18" t="str">
        <f>Source!F225</f>
        <v>1.16-3201-1-1/1</v>
      </c>
      <c r="D289" s="18" t="str">
        <f>Source!G225</f>
        <v>Регулировка смывного бачка</v>
      </c>
      <c r="E289" s="19" t="str">
        <f>Source!H225</f>
        <v>100 приборов</v>
      </c>
      <c r="F289" s="9">
        <f>Source!I225</f>
        <v>0.08</v>
      </c>
      <c r="G289" s="21"/>
      <c r="H289" s="20"/>
      <c r="I289" s="9"/>
      <c r="J289" s="9"/>
      <c r="K289" s="21"/>
      <c r="L289" s="21"/>
      <c r="Q289">
        <f>ROUND((Source!BZ225/100)*ROUND((Source!AF225*Source!AV225)*Source!I225, 2), 2)</f>
        <v>890.18</v>
      </c>
      <c r="R289">
        <f>Source!X225</f>
        <v>890.18</v>
      </c>
      <c r="S289">
        <f>ROUND((Source!CA225/100)*ROUND((Source!AF225*Source!AV225)*Source!I225, 2), 2)</f>
        <v>127.17</v>
      </c>
      <c r="T289">
        <f>Source!Y225</f>
        <v>127.17</v>
      </c>
      <c r="U289">
        <f>ROUND((175/100)*ROUND((Source!AE225*Source!AV225)*Source!I225, 2), 2)</f>
        <v>0</v>
      </c>
      <c r="V289">
        <f>ROUND((108/100)*ROUND(Source!CS225*Source!I225, 2), 2)</f>
        <v>0</v>
      </c>
    </row>
    <row r="290" spans="1:22" x14ac:dyDescent="0.2">
      <c r="D290" s="22" t="str">
        <f>"Объем: "&amp;Source!I225&amp;"=2*"&amp;"4/"&amp;"100"</f>
        <v>Объем: 0,08=2*4/100</v>
      </c>
    </row>
    <row r="291" spans="1:22" ht="14.25" x14ac:dyDescent="0.2">
      <c r="A291" s="18"/>
      <c r="B291" s="18"/>
      <c r="C291" s="18"/>
      <c r="D291" s="18" t="s">
        <v>461</v>
      </c>
      <c r="E291" s="19"/>
      <c r="F291" s="9"/>
      <c r="G291" s="21">
        <f>Source!AO225</f>
        <v>15896.11</v>
      </c>
      <c r="H291" s="20" t="str">
        <f>Source!DG225</f>
        <v/>
      </c>
      <c r="I291" s="9">
        <f>Source!AV225</f>
        <v>1</v>
      </c>
      <c r="J291" s="9">
        <f>IF(Source!BA225&lt;&gt; 0, Source!BA225, 1)</f>
        <v>1</v>
      </c>
      <c r="K291" s="21">
        <f>Source!S225</f>
        <v>1271.69</v>
      </c>
      <c r="L291" s="21"/>
    </row>
    <row r="292" spans="1:22" ht="14.25" x14ac:dyDescent="0.2">
      <c r="A292" s="18"/>
      <c r="B292" s="18"/>
      <c r="C292" s="18"/>
      <c r="D292" s="18" t="s">
        <v>465</v>
      </c>
      <c r="E292" s="19" t="s">
        <v>466</v>
      </c>
      <c r="F292" s="9">
        <f>Source!AT225</f>
        <v>70</v>
      </c>
      <c r="G292" s="21"/>
      <c r="H292" s="20"/>
      <c r="I292" s="9"/>
      <c r="J292" s="9"/>
      <c r="K292" s="21">
        <f>SUM(R289:R291)</f>
        <v>890.18</v>
      </c>
      <c r="L292" s="21"/>
    </row>
    <row r="293" spans="1:22" ht="14.25" x14ac:dyDescent="0.2">
      <c r="A293" s="18"/>
      <c r="B293" s="18"/>
      <c r="C293" s="18"/>
      <c r="D293" s="18" t="s">
        <v>467</v>
      </c>
      <c r="E293" s="19" t="s">
        <v>466</v>
      </c>
      <c r="F293" s="9">
        <f>Source!AU225</f>
        <v>10</v>
      </c>
      <c r="G293" s="21"/>
      <c r="H293" s="20"/>
      <c r="I293" s="9"/>
      <c r="J293" s="9"/>
      <c r="K293" s="21">
        <f>SUM(T289:T292)</f>
        <v>127.17</v>
      </c>
      <c r="L293" s="21"/>
    </row>
    <row r="294" spans="1:22" ht="14.25" x14ac:dyDescent="0.2">
      <c r="A294" s="18"/>
      <c r="B294" s="18"/>
      <c r="C294" s="18"/>
      <c r="D294" s="18" t="s">
        <v>469</v>
      </c>
      <c r="E294" s="19" t="s">
        <v>470</v>
      </c>
      <c r="F294" s="9">
        <f>Source!AQ225</f>
        <v>26.7</v>
      </c>
      <c r="G294" s="21"/>
      <c r="H294" s="20" t="str">
        <f>Source!DI225</f>
        <v/>
      </c>
      <c r="I294" s="9">
        <f>Source!AV225</f>
        <v>1</v>
      </c>
      <c r="J294" s="9"/>
      <c r="K294" s="21"/>
      <c r="L294" s="21">
        <f>Source!U225</f>
        <v>2.1360000000000001</v>
      </c>
    </row>
    <row r="295" spans="1:22" ht="15" x14ac:dyDescent="0.25">
      <c r="A295" s="26"/>
      <c r="B295" s="26"/>
      <c r="C295" s="26"/>
      <c r="D295" s="26"/>
      <c r="E295" s="26"/>
      <c r="F295" s="26"/>
      <c r="G295" s="26"/>
      <c r="H295" s="26"/>
      <c r="I295" s="26"/>
      <c r="J295" s="53">
        <f>K291+K292+K293</f>
        <v>2289.04</v>
      </c>
      <c r="K295" s="53"/>
      <c r="L295" s="27">
        <f>IF(Source!I225&lt;&gt;0, ROUND(J295/Source!I225, 2), 0)</f>
        <v>28613</v>
      </c>
      <c r="P295" s="24">
        <f>J295</f>
        <v>2289.04</v>
      </c>
    </row>
    <row r="296" spans="1:22" ht="14.25" x14ac:dyDescent="0.2">
      <c r="A296" s="18">
        <v>28</v>
      </c>
      <c r="B296" s="18">
        <v>28</v>
      </c>
      <c r="C296" s="18" t="str">
        <f>Source!F226</f>
        <v>1.16-2203-1-1/1</v>
      </c>
      <c r="D296" s="18" t="str">
        <f>Source!G226</f>
        <v>Прочистка сифонов</v>
      </c>
      <c r="E296" s="19" t="str">
        <f>Source!H226</f>
        <v>100 шт.</v>
      </c>
      <c r="F296" s="9">
        <f>Source!I226</f>
        <v>0.08</v>
      </c>
      <c r="G296" s="21"/>
      <c r="H296" s="20"/>
      <c r="I296" s="9"/>
      <c r="J296" s="9"/>
      <c r="K296" s="21"/>
      <c r="L296" s="21"/>
      <c r="Q296">
        <f>ROUND((Source!BZ226/100)*ROUND((Source!AF226*Source!AV226)*Source!I226, 2), 2)</f>
        <v>795.31</v>
      </c>
      <c r="R296">
        <f>Source!X226</f>
        <v>795.31</v>
      </c>
      <c r="S296">
        <f>ROUND((Source!CA226/100)*ROUND((Source!AF226*Source!AV226)*Source!I226, 2), 2)</f>
        <v>113.62</v>
      </c>
      <c r="T296">
        <f>Source!Y226</f>
        <v>113.62</v>
      </c>
      <c r="U296">
        <f>ROUND((175/100)*ROUND((Source!AE226*Source!AV226)*Source!I226, 2), 2)</f>
        <v>0</v>
      </c>
      <c r="V296">
        <f>ROUND((108/100)*ROUND(Source!CS226*Source!I226, 2), 2)</f>
        <v>0</v>
      </c>
    </row>
    <row r="297" spans="1:22" x14ac:dyDescent="0.2">
      <c r="D297" s="22" t="str">
        <f>"Объем: "&amp;Source!I226&amp;"=2*"&amp;"4/"&amp;"100"</f>
        <v>Объем: 0,08=2*4/100</v>
      </c>
    </row>
    <row r="298" spans="1:22" ht="14.25" x14ac:dyDescent="0.2">
      <c r="A298" s="18"/>
      <c r="B298" s="18"/>
      <c r="C298" s="18"/>
      <c r="D298" s="18" t="s">
        <v>461</v>
      </c>
      <c r="E298" s="19"/>
      <c r="F298" s="9"/>
      <c r="G298" s="21">
        <f>Source!AO226</f>
        <v>14201.94</v>
      </c>
      <c r="H298" s="20" t="str">
        <f>Source!DG226</f>
        <v/>
      </c>
      <c r="I298" s="9">
        <f>Source!AV226</f>
        <v>1</v>
      </c>
      <c r="J298" s="9">
        <f>IF(Source!BA226&lt;&gt; 0, Source!BA226, 1)</f>
        <v>1</v>
      </c>
      <c r="K298" s="21">
        <f>Source!S226</f>
        <v>1136.1600000000001</v>
      </c>
      <c r="L298" s="21"/>
    </row>
    <row r="299" spans="1:22" ht="14.25" x14ac:dyDescent="0.2">
      <c r="A299" s="18"/>
      <c r="B299" s="18"/>
      <c r="C299" s="18"/>
      <c r="D299" s="18" t="s">
        <v>464</v>
      </c>
      <c r="E299" s="19"/>
      <c r="F299" s="9"/>
      <c r="G299" s="21">
        <f>Source!AL226</f>
        <v>243.57</v>
      </c>
      <c r="H299" s="20" t="str">
        <f>Source!DD226</f>
        <v/>
      </c>
      <c r="I299" s="9">
        <f>Source!AW226</f>
        <v>1</v>
      </c>
      <c r="J299" s="9">
        <f>IF(Source!BC226&lt;&gt; 0, Source!BC226, 1)</f>
        <v>1</v>
      </c>
      <c r="K299" s="21">
        <f>Source!P226</f>
        <v>19.489999999999998</v>
      </c>
      <c r="L299" s="21"/>
    </row>
    <row r="300" spans="1:22" ht="14.25" x14ac:dyDescent="0.2">
      <c r="A300" s="18"/>
      <c r="B300" s="18"/>
      <c r="C300" s="18"/>
      <c r="D300" s="18" t="s">
        <v>465</v>
      </c>
      <c r="E300" s="19" t="s">
        <v>466</v>
      </c>
      <c r="F300" s="9">
        <f>Source!AT226</f>
        <v>70</v>
      </c>
      <c r="G300" s="21"/>
      <c r="H300" s="20"/>
      <c r="I300" s="9"/>
      <c r="J300" s="9"/>
      <c r="K300" s="21">
        <f>SUM(R296:R299)</f>
        <v>795.31</v>
      </c>
      <c r="L300" s="21"/>
    </row>
    <row r="301" spans="1:22" ht="14.25" x14ac:dyDescent="0.2">
      <c r="A301" s="18"/>
      <c r="B301" s="18"/>
      <c r="C301" s="18"/>
      <c r="D301" s="18" t="s">
        <v>467</v>
      </c>
      <c r="E301" s="19" t="s">
        <v>466</v>
      </c>
      <c r="F301" s="9">
        <f>Source!AU226</f>
        <v>10</v>
      </c>
      <c r="G301" s="21"/>
      <c r="H301" s="20"/>
      <c r="I301" s="9"/>
      <c r="J301" s="9"/>
      <c r="K301" s="21">
        <f>SUM(T296:T300)</f>
        <v>113.62</v>
      </c>
      <c r="L301" s="21"/>
    </row>
    <row r="302" spans="1:22" ht="14.25" x14ac:dyDescent="0.2">
      <c r="A302" s="18"/>
      <c r="B302" s="18"/>
      <c r="C302" s="18"/>
      <c r="D302" s="18" t="s">
        <v>469</v>
      </c>
      <c r="E302" s="19" t="s">
        <v>470</v>
      </c>
      <c r="F302" s="9">
        <f>Source!AQ226</f>
        <v>28.02</v>
      </c>
      <c r="G302" s="21"/>
      <c r="H302" s="20" t="str">
        <f>Source!DI226</f>
        <v/>
      </c>
      <c r="I302" s="9">
        <f>Source!AV226</f>
        <v>1</v>
      </c>
      <c r="J302" s="9"/>
      <c r="K302" s="21"/>
      <c r="L302" s="21">
        <f>Source!U226</f>
        <v>2.2416</v>
      </c>
    </row>
    <row r="303" spans="1:22" ht="15" x14ac:dyDescent="0.25">
      <c r="A303" s="26"/>
      <c r="B303" s="26"/>
      <c r="C303" s="26"/>
      <c r="D303" s="26"/>
      <c r="E303" s="26"/>
      <c r="F303" s="26"/>
      <c r="G303" s="26"/>
      <c r="H303" s="26"/>
      <c r="I303" s="26"/>
      <c r="J303" s="53">
        <f>K298+K299+K300+K301</f>
        <v>2064.58</v>
      </c>
      <c r="K303" s="53"/>
      <c r="L303" s="27">
        <f>IF(Source!I226&lt;&gt;0, ROUND(J303/Source!I226, 2), 0)</f>
        <v>25807.25</v>
      </c>
      <c r="P303" s="24">
        <f>J303</f>
        <v>2064.58</v>
      </c>
    </row>
    <row r="304" spans="1:22" ht="28.5" x14ac:dyDescent="0.2">
      <c r="A304" s="18">
        <v>29</v>
      </c>
      <c r="B304" s="18">
        <v>29</v>
      </c>
      <c r="C304" s="18" t="str">
        <f>Source!F229</f>
        <v>1.15-2303-4-1/1</v>
      </c>
      <c r="D304" s="18" t="str">
        <f>Source!G229</f>
        <v>Прочистка сетчатых фильтров грубой очистки воды диаметром до 25 мм</v>
      </c>
      <c r="E304" s="19" t="str">
        <f>Source!H229</f>
        <v>10 шт.</v>
      </c>
      <c r="F304" s="9">
        <f>Source!I229</f>
        <v>0.8</v>
      </c>
      <c r="G304" s="21"/>
      <c r="H304" s="20"/>
      <c r="I304" s="9"/>
      <c r="J304" s="9"/>
      <c r="K304" s="21"/>
      <c r="L304" s="21"/>
      <c r="Q304">
        <f>ROUND((Source!BZ229/100)*ROUND((Source!AF229*Source!AV229)*Source!I229, 2), 2)</f>
        <v>705.42</v>
      </c>
      <c r="R304">
        <f>Source!X229</f>
        <v>705.42</v>
      </c>
      <c r="S304">
        <f>ROUND((Source!CA229/100)*ROUND((Source!AF229*Source!AV229)*Source!I229, 2), 2)</f>
        <v>100.77</v>
      </c>
      <c r="T304">
        <f>Source!Y229</f>
        <v>100.77</v>
      </c>
      <c r="U304">
        <f>ROUND((175/100)*ROUND((Source!AE229*Source!AV229)*Source!I229, 2), 2)</f>
        <v>0</v>
      </c>
      <c r="V304">
        <f>ROUND((108/100)*ROUND(Source!CS229*Source!I229, 2), 2)</f>
        <v>0</v>
      </c>
    </row>
    <row r="305" spans="1:22" x14ac:dyDescent="0.2">
      <c r="D305" s="22" t="str">
        <f>"Объем: "&amp;Source!I229&amp;"=2*"&amp;"4/"&amp;"10"</f>
        <v>Объем: 0,8=2*4/10</v>
      </c>
    </row>
    <row r="306" spans="1:22" ht="14.25" x14ac:dyDescent="0.2">
      <c r="A306" s="18"/>
      <c r="B306" s="18"/>
      <c r="C306" s="18"/>
      <c r="D306" s="18" t="s">
        <v>461</v>
      </c>
      <c r="E306" s="19"/>
      <c r="F306" s="9"/>
      <c r="G306" s="21">
        <f>Source!AO229</f>
        <v>1259.68</v>
      </c>
      <c r="H306" s="20" t="str">
        <f>Source!DG229</f>
        <v/>
      </c>
      <c r="I306" s="9">
        <f>Source!AV229</f>
        <v>1</v>
      </c>
      <c r="J306" s="9">
        <f>IF(Source!BA229&lt;&gt; 0, Source!BA229, 1)</f>
        <v>1</v>
      </c>
      <c r="K306" s="21">
        <f>Source!S229</f>
        <v>1007.74</v>
      </c>
      <c r="L306" s="21"/>
    </row>
    <row r="307" spans="1:22" ht="14.25" x14ac:dyDescent="0.2">
      <c r="A307" s="18"/>
      <c r="B307" s="18"/>
      <c r="C307" s="18"/>
      <c r="D307" s="18" t="s">
        <v>465</v>
      </c>
      <c r="E307" s="19" t="s">
        <v>466</v>
      </c>
      <c r="F307" s="9">
        <f>Source!AT229</f>
        <v>70</v>
      </c>
      <c r="G307" s="21"/>
      <c r="H307" s="20"/>
      <c r="I307" s="9"/>
      <c r="J307" s="9"/>
      <c r="K307" s="21">
        <f>SUM(R304:R306)</f>
        <v>705.42</v>
      </c>
      <c r="L307" s="21"/>
    </row>
    <row r="308" spans="1:22" ht="14.25" x14ac:dyDescent="0.2">
      <c r="A308" s="18"/>
      <c r="B308" s="18"/>
      <c r="C308" s="18"/>
      <c r="D308" s="18" t="s">
        <v>467</v>
      </c>
      <c r="E308" s="19" t="s">
        <v>466</v>
      </c>
      <c r="F308" s="9">
        <f>Source!AU229</f>
        <v>10</v>
      </c>
      <c r="G308" s="21"/>
      <c r="H308" s="20"/>
      <c r="I308" s="9"/>
      <c r="J308" s="9"/>
      <c r="K308" s="21">
        <f>SUM(T304:T307)</f>
        <v>100.77</v>
      </c>
      <c r="L308" s="21"/>
    </row>
    <row r="309" spans="1:22" ht="14.25" x14ac:dyDescent="0.2">
      <c r="A309" s="18"/>
      <c r="B309" s="18"/>
      <c r="C309" s="18"/>
      <c r="D309" s="18" t="s">
        <v>469</v>
      </c>
      <c r="E309" s="19" t="s">
        <v>470</v>
      </c>
      <c r="F309" s="9">
        <f>Source!AQ229</f>
        <v>2.04</v>
      </c>
      <c r="G309" s="21"/>
      <c r="H309" s="20" t="str">
        <f>Source!DI229</f>
        <v/>
      </c>
      <c r="I309" s="9">
        <f>Source!AV229</f>
        <v>1</v>
      </c>
      <c r="J309" s="9"/>
      <c r="K309" s="21"/>
      <c r="L309" s="21">
        <f>Source!U229</f>
        <v>1.6320000000000001</v>
      </c>
    </row>
    <row r="310" spans="1:22" ht="15" x14ac:dyDescent="0.25">
      <c r="A310" s="26"/>
      <c r="B310" s="26"/>
      <c r="C310" s="26"/>
      <c r="D310" s="26"/>
      <c r="E310" s="26"/>
      <c r="F310" s="26"/>
      <c r="G310" s="26"/>
      <c r="H310" s="26"/>
      <c r="I310" s="26"/>
      <c r="J310" s="53">
        <f>K306+K307+K308</f>
        <v>1813.9299999999998</v>
      </c>
      <c r="K310" s="53"/>
      <c r="L310" s="27">
        <f>IF(Source!I229&lt;&gt;0, ROUND(J310/Source!I229, 2), 0)</f>
        <v>2267.41</v>
      </c>
      <c r="P310" s="24">
        <f>J310</f>
        <v>1813.9299999999998</v>
      </c>
    </row>
    <row r="312" spans="1:22" ht="15" x14ac:dyDescent="0.25">
      <c r="A312" s="57" t="str">
        <f>CONCATENATE("Итого по подразделу: ",IF(Source!G238&lt;&gt;"Новый подраздел", Source!G238, ""))</f>
        <v>Итого по подразделу: Оборудование водоснабжения и водоотведения</v>
      </c>
      <c r="B312" s="57"/>
      <c r="C312" s="57"/>
      <c r="D312" s="57"/>
      <c r="E312" s="57"/>
      <c r="F312" s="57"/>
      <c r="G312" s="57"/>
      <c r="H312" s="57"/>
      <c r="I312" s="57"/>
      <c r="J312" s="55">
        <f>SUM(P256:P311)</f>
        <v>29062.25</v>
      </c>
      <c r="K312" s="56"/>
      <c r="L312" s="28"/>
    </row>
    <row r="315" spans="1:22" ht="16.5" x14ac:dyDescent="0.25">
      <c r="A315" s="54" t="str">
        <f>CONCATENATE("Подраздел: ",IF(Source!G268&lt;&gt;"Новый подраздел", Source!G268, ""))</f>
        <v>Подраздел: Техническое помещение общее на модуль</v>
      </c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</row>
    <row r="316" spans="1:22" ht="42.75" x14ac:dyDescent="0.2">
      <c r="A316" s="18">
        <v>30</v>
      </c>
      <c r="B316" s="18">
        <v>30</v>
      </c>
      <c r="C316" s="18" t="str">
        <f>Source!F272</f>
        <v>1.21-2303-24-1/1</v>
      </c>
      <c r="D316" s="18" t="str">
        <f>Source!G272</f>
        <v>Техническое обслуживание электроводонагревателей объемом до 80 литров</v>
      </c>
      <c r="E316" s="19" t="str">
        <f>Source!H272</f>
        <v>шт.</v>
      </c>
      <c r="F316" s="9">
        <f>Source!I272</f>
        <v>4</v>
      </c>
      <c r="G316" s="21"/>
      <c r="H316" s="20"/>
      <c r="I316" s="9"/>
      <c r="J316" s="9"/>
      <c r="K316" s="21"/>
      <c r="L316" s="21"/>
      <c r="Q316">
        <f>ROUND((Source!BZ272/100)*ROUND((Source!AF272*Source!AV272)*Source!I272, 2), 2)</f>
        <v>3483.28</v>
      </c>
      <c r="R316">
        <f>Source!X272</f>
        <v>3483.28</v>
      </c>
      <c r="S316">
        <f>ROUND((Source!CA272/100)*ROUND((Source!AF272*Source!AV272)*Source!I272, 2), 2)</f>
        <v>497.61</v>
      </c>
      <c r="T316">
        <f>Source!Y272</f>
        <v>497.61</v>
      </c>
      <c r="U316">
        <f>ROUND((175/100)*ROUND((Source!AE272*Source!AV272)*Source!I272, 2), 2)</f>
        <v>6263.39</v>
      </c>
      <c r="V316">
        <f>ROUND((108/100)*ROUND(Source!CS272*Source!I272, 2), 2)</f>
        <v>3865.41</v>
      </c>
    </row>
    <row r="317" spans="1:22" x14ac:dyDescent="0.2">
      <c r="D317" s="22" t="str">
        <f>"Объем: "&amp;Source!I272&amp;"=1*"&amp;"4"</f>
        <v>Объем: 4=1*4</v>
      </c>
    </row>
    <row r="318" spans="1:22" ht="14.25" x14ac:dyDescent="0.2">
      <c r="A318" s="18"/>
      <c r="B318" s="18"/>
      <c r="C318" s="18"/>
      <c r="D318" s="18" t="s">
        <v>461</v>
      </c>
      <c r="E318" s="19"/>
      <c r="F318" s="9"/>
      <c r="G318" s="21">
        <f>Source!AO272</f>
        <v>1244.03</v>
      </c>
      <c r="H318" s="20" t="str">
        <f>Source!DG272</f>
        <v/>
      </c>
      <c r="I318" s="9">
        <f>Source!AV272</f>
        <v>1</v>
      </c>
      <c r="J318" s="9">
        <f>IF(Source!BA272&lt;&gt; 0, Source!BA272, 1)</f>
        <v>1</v>
      </c>
      <c r="K318" s="21">
        <f>Source!S272</f>
        <v>4976.12</v>
      </c>
      <c r="L318" s="21"/>
    </row>
    <row r="319" spans="1:22" ht="14.25" x14ac:dyDescent="0.2">
      <c r="A319" s="18"/>
      <c r="B319" s="18"/>
      <c r="C319" s="18"/>
      <c r="D319" s="18" t="s">
        <v>462</v>
      </c>
      <c r="E319" s="19"/>
      <c r="F319" s="9"/>
      <c r="G319" s="21">
        <f>Source!AM272</f>
        <v>1411.16</v>
      </c>
      <c r="H319" s="20" t="str">
        <f>Source!DE272</f>
        <v/>
      </c>
      <c r="I319" s="9">
        <f>Source!AV272</f>
        <v>1</v>
      </c>
      <c r="J319" s="9">
        <f>IF(Source!BB272&lt;&gt; 0, Source!BB272, 1)</f>
        <v>1</v>
      </c>
      <c r="K319" s="21">
        <f>Source!Q272</f>
        <v>5644.64</v>
      </c>
      <c r="L319" s="21"/>
    </row>
    <row r="320" spans="1:22" ht="14.25" x14ac:dyDescent="0.2">
      <c r="A320" s="18"/>
      <c r="B320" s="18"/>
      <c r="C320" s="18"/>
      <c r="D320" s="18" t="s">
        <v>463</v>
      </c>
      <c r="E320" s="19"/>
      <c r="F320" s="9"/>
      <c r="G320" s="21">
        <f>Source!AN272</f>
        <v>894.77</v>
      </c>
      <c r="H320" s="20" t="str">
        <f>Source!DF272</f>
        <v/>
      </c>
      <c r="I320" s="9">
        <f>Source!AV272</f>
        <v>1</v>
      </c>
      <c r="J320" s="9">
        <f>IF(Source!BS272&lt;&gt; 0, Source!BS272, 1)</f>
        <v>1</v>
      </c>
      <c r="K320" s="23">
        <f>Source!R272</f>
        <v>3579.08</v>
      </c>
      <c r="L320" s="21"/>
    </row>
    <row r="321" spans="1:22" ht="14.25" x14ac:dyDescent="0.2">
      <c r="A321" s="18"/>
      <c r="B321" s="18"/>
      <c r="C321" s="18"/>
      <c r="D321" s="18" t="s">
        <v>464</v>
      </c>
      <c r="E321" s="19"/>
      <c r="F321" s="9"/>
      <c r="G321" s="21">
        <f>Source!AL272</f>
        <v>0.63</v>
      </c>
      <c r="H321" s="20" t="str">
        <f>Source!DD272</f>
        <v/>
      </c>
      <c r="I321" s="9">
        <f>Source!AW272</f>
        <v>1</v>
      </c>
      <c r="J321" s="9">
        <f>IF(Source!BC272&lt;&gt; 0, Source!BC272, 1)</f>
        <v>1</v>
      </c>
      <c r="K321" s="21">
        <f>Source!P272</f>
        <v>2.52</v>
      </c>
      <c r="L321" s="21"/>
    </row>
    <row r="322" spans="1:22" ht="14.25" x14ac:dyDescent="0.2">
      <c r="A322" s="18"/>
      <c r="B322" s="18"/>
      <c r="C322" s="18"/>
      <c r="D322" s="18" t="s">
        <v>465</v>
      </c>
      <c r="E322" s="19" t="s">
        <v>466</v>
      </c>
      <c r="F322" s="9">
        <f>Source!AT272</f>
        <v>70</v>
      </c>
      <c r="G322" s="21"/>
      <c r="H322" s="20"/>
      <c r="I322" s="9"/>
      <c r="J322" s="9"/>
      <c r="K322" s="21">
        <f>SUM(R316:R321)</f>
        <v>3483.28</v>
      </c>
      <c r="L322" s="21"/>
    </row>
    <row r="323" spans="1:22" ht="14.25" x14ac:dyDescent="0.2">
      <c r="A323" s="18"/>
      <c r="B323" s="18"/>
      <c r="C323" s="18"/>
      <c r="D323" s="18" t="s">
        <v>467</v>
      </c>
      <c r="E323" s="19" t="s">
        <v>466</v>
      </c>
      <c r="F323" s="9">
        <f>Source!AU272</f>
        <v>10</v>
      </c>
      <c r="G323" s="21"/>
      <c r="H323" s="20"/>
      <c r="I323" s="9"/>
      <c r="J323" s="9"/>
      <c r="K323" s="21">
        <f>SUM(T316:T322)</f>
        <v>497.61</v>
      </c>
      <c r="L323" s="21"/>
    </row>
    <row r="324" spans="1:22" ht="14.25" x14ac:dyDescent="0.2">
      <c r="A324" s="18"/>
      <c r="B324" s="18"/>
      <c r="C324" s="18"/>
      <c r="D324" s="18" t="s">
        <v>468</v>
      </c>
      <c r="E324" s="19" t="s">
        <v>466</v>
      </c>
      <c r="F324" s="9">
        <f>108</f>
        <v>108</v>
      </c>
      <c r="G324" s="21"/>
      <c r="H324" s="20"/>
      <c r="I324" s="9"/>
      <c r="J324" s="9"/>
      <c r="K324" s="21">
        <f>SUM(V316:V323)</f>
        <v>3865.41</v>
      </c>
      <c r="L324" s="21"/>
    </row>
    <row r="325" spans="1:22" ht="14.25" x14ac:dyDescent="0.2">
      <c r="A325" s="18"/>
      <c r="B325" s="18"/>
      <c r="C325" s="18"/>
      <c r="D325" s="18" t="s">
        <v>469</v>
      </c>
      <c r="E325" s="19" t="s">
        <v>470</v>
      </c>
      <c r="F325" s="9">
        <f>Source!AQ272</f>
        <v>1.75</v>
      </c>
      <c r="G325" s="21"/>
      <c r="H325" s="20" t="str">
        <f>Source!DI272</f>
        <v/>
      </c>
      <c r="I325" s="9">
        <f>Source!AV272</f>
        <v>1</v>
      </c>
      <c r="J325" s="9"/>
      <c r="K325" s="21"/>
      <c r="L325" s="21">
        <f>Source!U272</f>
        <v>7</v>
      </c>
    </row>
    <row r="326" spans="1:22" ht="15" x14ac:dyDescent="0.25">
      <c r="A326" s="26"/>
      <c r="B326" s="26"/>
      <c r="C326" s="26"/>
      <c r="D326" s="26"/>
      <c r="E326" s="26"/>
      <c r="F326" s="26"/>
      <c r="G326" s="26"/>
      <c r="H326" s="26"/>
      <c r="I326" s="26"/>
      <c r="J326" s="53">
        <f>K318+K319+K321+K322+K323+K324</f>
        <v>18469.580000000002</v>
      </c>
      <c r="K326" s="53"/>
      <c r="L326" s="27">
        <f>IF(Source!I272&lt;&gt;0, ROUND(J326/Source!I272, 2), 0)</f>
        <v>4617.3999999999996</v>
      </c>
      <c r="P326" s="24">
        <f>J326</f>
        <v>18469.580000000002</v>
      </c>
    </row>
    <row r="327" spans="1:22" ht="42.75" x14ac:dyDescent="0.2">
      <c r="A327" s="18">
        <v>31</v>
      </c>
      <c r="B327" s="18">
        <v>31</v>
      </c>
      <c r="C327" s="18" t="str">
        <f>Source!F273</f>
        <v>1.24-2103-16-1/1</v>
      </c>
      <c r="D327" s="18" t="str">
        <f>Source!G273</f>
        <v>Техническое обслуживание погружных насосов мощностью от 2,1 кВт до 16 кВт / прим.</v>
      </c>
      <c r="E327" s="19" t="str">
        <f>Source!H273</f>
        <v>шт.</v>
      </c>
      <c r="F327" s="9">
        <f>Source!I273</f>
        <v>4</v>
      </c>
      <c r="G327" s="21"/>
      <c r="H327" s="20"/>
      <c r="I327" s="9"/>
      <c r="J327" s="9"/>
      <c r="K327" s="21"/>
      <c r="L327" s="21"/>
      <c r="Q327">
        <f>ROUND((Source!BZ273/100)*ROUND((Source!AF273*Source!AV273)*Source!I273, 2), 2)</f>
        <v>10680.96</v>
      </c>
      <c r="R327">
        <f>Source!X273</f>
        <v>10680.96</v>
      </c>
      <c r="S327">
        <f>ROUND((Source!CA273/100)*ROUND((Source!AF273*Source!AV273)*Source!I273, 2), 2)</f>
        <v>1525.85</v>
      </c>
      <c r="T327">
        <f>Source!Y273</f>
        <v>1525.85</v>
      </c>
      <c r="U327">
        <f>ROUND((175/100)*ROUND((Source!AE273*Source!AV273)*Source!I273, 2), 2)</f>
        <v>7.91</v>
      </c>
      <c r="V327">
        <f>ROUND((108/100)*ROUND(Source!CS273*Source!I273, 2), 2)</f>
        <v>4.88</v>
      </c>
    </row>
    <row r="328" spans="1:22" x14ac:dyDescent="0.2">
      <c r="D328" s="22" t="str">
        <f>"Объем: "&amp;Source!I273&amp;"=1*"&amp;"4"</f>
        <v>Объем: 4=1*4</v>
      </c>
    </row>
    <row r="329" spans="1:22" ht="14.25" x14ac:dyDescent="0.2">
      <c r="A329" s="18"/>
      <c r="B329" s="18"/>
      <c r="C329" s="18"/>
      <c r="D329" s="18" t="s">
        <v>461</v>
      </c>
      <c r="E329" s="19"/>
      <c r="F329" s="9"/>
      <c r="G329" s="21">
        <f>Source!AO273</f>
        <v>3814.63</v>
      </c>
      <c r="H329" s="20" t="str">
        <f>Source!DG273</f>
        <v/>
      </c>
      <c r="I329" s="9">
        <f>Source!AV273</f>
        <v>1</v>
      </c>
      <c r="J329" s="9">
        <f>IF(Source!BA273&lt;&gt; 0, Source!BA273, 1)</f>
        <v>1</v>
      </c>
      <c r="K329" s="21">
        <f>Source!S273</f>
        <v>15258.52</v>
      </c>
      <c r="L329" s="21"/>
    </row>
    <row r="330" spans="1:22" ht="14.25" x14ac:dyDescent="0.2">
      <c r="A330" s="18"/>
      <c r="B330" s="18"/>
      <c r="C330" s="18"/>
      <c r="D330" s="18" t="s">
        <v>462</v>
      </c>
      <c r="E330" s="19"/>
      <c r="F330" s="9"/>
      <c r="G330" s="21">
        <f>Source!AM273</f>
        <v>26.53</v>
      </c>
      <c r="H330" s="20" t="str">
        <f>Source!DE273</f>
        <v/>
      </c>
      <c r="I330" s="9">
        <f>Source!AV273</f>
        <v>1</v>
      </c>
      <c r="J330" s="9">
        <f>IF(Source!BB273&lt;&gt; 0, Source!BB273, 1)</f>
        <v>1</v>
      </c>
      <c r="K330" s="21">
        <f>Source!Q273</f>
        <v>106.12</v>
      </c>
      <c r="L330" s="21"/>
    </row>
    <row r="331" spans="1:22" ht="14.25" x14ac:dyDescent="0.2">
      <c r="A331" s="18"/>
      <c r="B331" s="18"/>
      <c r="C331" s="18"/>
      <c r="D331" s="18" t="s">
        <v>463</v>
      </c>
      <c r="E331" s="19"/>
      <c r="F331" s="9"/>
      <c r="G331" s="21">
        <f>Source!AN273</f>
        <v>1.1299999999999999</v>
      </c>
      <c r="H331" s="20" t="str">
        <f>Source!DF273</f>
        <v/>
      </c>
      <c r="I331" s="9">
        <f>Source!AV273</f>
        <v>1</v>
      </c>
      <c r="J331" s="9">
        <f>IF(Source!BS273&lt;&gt; 0, Source!BS273, 1)</f>
        <v>1</v>
      </c>
      <c r="K331" s="23">
        <f>Source!R273</f>
        <v>4.5199999999999996</v>
      </c>
      <c r="L331" s="21"/>
    </row>
    <row r="332" spans="1:22" ht="14.25" x14ac:dyDescent="0.2">
      <c r="A332" s="18"/>
      <c r="B332" s="18"/>
      <c r="C332" s="18"/>
      <c r="D332" s="18" t="s">
        <v>464</v>
      </c>
      <c r="E332" s="19"/>
      <c r="F332" s="9"/>
      <c r="G332" s="21">
        <f>Source!AL273</f>
        <v>5881.34</v>
      </c>
      <c r="H332" s="20" t="str">
        <f>Source!DD273</f>
        <v/>
      </c>
      <c r="I332" s="9">
        <f>Source!AW273</f>
        <v>1</v>
      </c>
      <c r="J332" s="9">
        <f>IF(Source!BC273&lt;&gt; 0, Source!BC273, 1)</f>
        <v>1</v>
      </c>
      <c r="K332" s="21">
        <f>Source!P273</f>
        <v>23525.360000000001</v>
      </c>
      <c r="L332" s="21"/>
    </row>
    <row r="333" spans="1:22" ht="14.25" x14ac:dyDescent="0.2">
      <c r="A333" s="18"/>
      <c r="B333" s="18"/>
      <c r="C333" s="18"/>
      <c r="D333" s="18" t="s">
        <v>465</v>
      </c>
      <c r="E333" s="19" t="s">
        <v>466</v>
      </c>
      <c r="F333" s="9">
        <f>Source!AT273</f>
        <v>70</v>
      </c>
      <c r="G333" s="21"/>
      <c r="H333" s="20"/>
      <c r="I333" s="9"/>
      <c r="J333" s="9"/>
      <c r="K333" s="21">
        <f>SUM(R327:R332)</f>
        <v>10680.96</v>
      </c>
      <c r="L333" s="21"/>
    </row>
    <row r="334" spans="1:22" ht="14.25" x14ac:dyDescent="0.2">
      <c r="A334" s="18"/>
      <c r="B334" s="18"/>
      <c r="C334" s="18"/>
      <c r="D334" s="18" t="s">
        <v>467</v>
      </c>
      <c r="E334" s="19" t="s">
        <v>466</v>
      </c>
      <c r="F334" s="9">
        <f>Source!AU273</f>
        <v>10</v>
      </c>
      <c r="G334" s="21"/>
      <c r="H334" s="20"/>
      <c r="I334" s="9"/>
      <c r="J334" s="9"/>
      <c r="K334" s="21">
        <f>SUM(T327:T333)</f>
        <v>1525.85</v>
      </c>
      <c r="L334" s="21"/>
    </row>
    <row r="335" spans="1:22" ht="14.25" x14ac:dyDescent="0.2">
      <c r="A335" s="18"/>
      <c r="B335" s="18"/>
      <c r="C335" s="18"/>
      <c r="D335" s="18" t="s">
        <v>468</v>
      </c>
      <c r="E335" s="19" t="s">
        <v>466</v>
      </c>
      <c r="F335" s="9">
        <f>108</f>
        <v>108</v>
      </c>
      <c r="G335" s="21"/>
      <c r="H335" s="20"/>
      <c r="I335" s="9"/>
      <c r="J335" s="9"/>
      <c r="K335" s="21">
        <f>SUM(V327:V334)</f>
        <v>4.88</v>
      </c>
      <c r="L335" s="21"/>
    </row>
    <row r="336" spans="1:22" ht="14.25" x14ac:dyDescent="0.2">
      <c r="A336" s="18"/>
      <c r="B336" s="18"/>
      <c r="C336" s="18"/>
      <c r="D336" s="18" t="s">
        <v>469</v>
      </c>
      <c r="E336" s="19" t="s">
        <v>470</v>
      </c>
      <c r="F336" s="9">
        <f>Source!AQ273</f>
        <v>5.7</v>
      </c>
      <c r="G336" s="21"/>
      <c r="H336" s="20" t="str">
        <f>Source!DI273</f>
        <v/>
      </c>
      <c r="I336" s="9">
        <f>Source!AV273</f>
        <v>1</v>
      </c>
      <c r="J336" s="9"/>
      <c r="K336" s="21"/>
      <c r="L336" s="21">
        <f>Source!U273</f>
        <v>22.8</v>
      </c>
    </row>
    <row r="337" spans="1:22" ht="15" x14ac:dyDescent="0.25">
      <c r="A337" s="26"/>
      <c r="B337" s="26"/>
      <c r="C337" s="26"/>
      <c r="D337" s="26"/>
      <c r="E337" s="26"/>
      <c r="F337" s="26"/>
      <c r="G337" s="26"/>
      <c r="H337" s="26"/>
      <c r="I337" s="26"/>
      <c r="J337" s="53">
        <f>K329+K330+K332+K333+K334+K335</f>
        <v>51101.689999999995</v>
      </c>
      <c r="K337" s="53"/>
      <c r="L337" s="27">
        <f>IF(Source!I273&lt;&gt;0, ROUND(J337/Source!I273, 2), 0)</f>
        <v>12775.42</v>
      </c>
      <c r="P337" s="24">
        <f>J337</f>
        <v>51101.689999999995</v>
      </c>
    </row>
    <row r="338" spans="1:22" ht="42.75" x14ac:dyDescent="0.2">
      <c r="A338" s="18">
        <v>32</v>
      </c>
      <c r="B338" s="18">
        <v>32</v>
      </c>
      <c r="C338" s="18" t="str">
        <f>Source!F276</f>
        <v>1.17-2103-14-1/1</v>
      </c>
      <c r="D338" s="18" t="str">
        <f>Source!G276</f>
        <v>Техническое обслуживание мембранного расширительного бака объемом 100 л</v>
      </c>
      <c r="E338" s="19" t="str">
        <f>Source!H276</f>
        <v>шт.</v>
      </c>
      <c r="F338" s="9">
        <f>Source!I276</f>
        <v>4</v>
      </c>
      <c r="G338" s="21"/>
      <c r="H338" s="20"/>
      <c r="I338" s="9"/>
      <c r="J338" s="9"/>
      <c r="K338" s="21"/>
      <c r="L338" s="21"/>
      <c r="Q338">
        <f>ROUND((Source!BZ276/100)*ROUND((Source!AF276*Source!AV276)*Source!I276, 2), 2)</f>
        <v>1002.79</v>
      </c>
      <c r="R338">
        <f>Source!X276</f>
        <v>1002.79</v>
      </c>
      <c r="S338">
        <f>ROUND((Source!CA276/100)*ROUND((Source!AF276*Source!AV276)*Source!I276, 2), 2)</f>
        <v>143.26</v>
      </c>
      <c r="T338">
        <f>Source!Y276</f>
        <v>143.26</v>
      </c>
      <c r="U338">
        <f>ROUND((175/100)*ROUND((Source!AE276*Source!AV276)*Source!I276, 2), 2)</f>
        <v>0</v>
      </c>
      <c r="V338">
        <f>ROUND((108/100)*ROUND(Source!CS276*Source!I276, 2), 2)</f>
        <v>0</v>
      </c>
    </row>
    <row r="339" spans="1:22" ht="14.25" x14ac:dyDescent="0.2">
      <c r="A339" s="18"/>
      <c r="B339" s="18"/>
      <c r="C339" s="18"/>
      <c r="D339" s="18" t="s">
        <v>461</v>
      </c>
      <c r="E339" s="19"/>
      <c r="F339" s="9"/>
      <c r="G339" s="21">
        <f>Source!AO276</f>
        <v>358.14</v>
      </c>
      <c r="H339" s="20" t="str">
        <f>Source!DG276</f>
        <v/>
      </c>
      <c r="I339" s="9">
        <f>Source!AV276</f>
        <v>1</v>
      </c>
      <c r="J339" s="9">
        <f>IF(Source!BA276&lt;&gt; 0, Source!BA276, 1)</f>
        <v>1</v>
      </c>
      <c r="K339" s="21">
        <f>Source!S276</f>
        <v>1432.56</v>
      </c>
      <c r="L339" s="21"/>
    </row>
    <row r="340" spans="1:22" ht="14.25" x14ac:dyDescent="0.2">
      <c r="A340" s="18"/>
      <c r="B340" s="18"/>
      <c r="C340" s="18"/>
      <c r="D340" s="18" t="s">
        <v>464</v>
      </c>
      <c r="E340" s="19"/>
      <c r="F340" s="9"/>
      <c r="G340" s="21">
        <f>Source!AL276</f>
        <v>0.63</v>
      </c>
      <c r="H340" s="20" t="str">
        <f>Source!DD276</f>
        <v/>
      </c>
      <c r="I340" s="9">
        <f>Source!AW276</f>
        <v>1</v>
      </c>
      <c r="J340" s="9">
        <f>IF(Source!BC276&lt;&gt; 0, Source!BC276, 1)</f>
        <v>1</v>
      </c>
      <c r="K340" s="21">
        <f>Source!P276</f>
        <v>2.52</v>
      </c>
      <c r="L340" s="21"/>
    </row>
    <row r="341" spans="1:22" ht="14.25" x14ac:dyDescent="0.2">
      <c r="A341" s="18"/>
      <c r="B341" s="18"/>
      <c r="C341" s="18"/>
      <c r="D341" s="18" t="s">
        <v>465</v>
      </c>
      <c r="E341" s="19" t="s">
        <v>466</v>
      </c>
      <c r="F341" s="9">
        <f>Source!AT276</f>
        <v>70</v>
      </c>
      <c r="G341" s="21"/>
      <c r="H341" s="20"/>
      <c r="I341" s="9"/>
      <c r="J341" s="9"/>
      <c r="K341" s="21">
        <f>SUM(R338:R340)</f>
        <v>1002.79</v>
      </c>
      <c r="L341" s="21"/>
    </row>
    <row r="342" spans="1:22" ht="14.25" x14ac:dyDescent="0.2">
      <c r="A342" s="18"/>
      <c r="B342" s="18"/>
      <c r="C342" s="18"/>
      <c r="D342" s="18" t="s">
        <v>467</v>
      </c>
      <c r="E342" s="19" t="s">
        <v>466</v>
      </c>
      <c r="F342" s="9">
        <f>Source!AU276</f>
        <v>10</v>
      </c>
      <c r="G342" s="21"/>
      <c r="H342" s="20"/>
      <c r="I342" s="9"/>
      <c r="J342" s="9"/>
      <c r="K342" s="21">
        <f>SUM(T338:T341)</f>
        <v>143.26</v>
      </c>
      <c r="L342" s="21"/>
    </row>
    <row r="343" spans="1:22" ht="14.25" x14ac:dyDescent="0.2">
      <c r="A343" s="18"/>
      <c r="B343" s="18"/>
      <c r="C343" s="18"/>
      <c r="D343" s="18" t="s">
        <v>469</v>
      </c>
      <c r="E343" s="19" t="s">
        <v>470</v>
      </c>
      <c r="F343" s="9">
        <f>Source!AQ276</f>
        <v>0.57999999999999996</v>
      </c>
      <c r="G343" s="21"/>
      <c r="H343" s="20" t="str">
        <f>Source!DI276</f>
        <v/>
      </c>
      <c r="I343" s="9">
        <f>Source!AV276</f>
        <v>1</v>
      </c>
      <c r="J343" s="9"/>
      <c r="K343" s="21"/>
      <c r="L343" s="21">
        <f>Source!U276</f>
        <v>2.3199999999999998</v>
      </c>
    </row>
    <row r="344" spans="1:22" ht="15" x14ac:dyDescent="0.25">
      <c r="A344" s="26"/>
      <c r="B344" s="26"/>
      <c r="C344" s="26"/>
      <c r="D344" s="26"/>
      <c r="E344" s="26"/>
      <c r="F344" s="26"/>
      <c r="G344" s="26"/>
      <c r="H344" s="26"/>
      <c r="I344" s="26"/>
      <c r="J344" s="53">
        <f>K339+K340+K341+K342</f>
        <v>2581.13</v>
      </c>
      <c r="K344" s="53"/>
      <c r="L344" s="27">
        <f>IF(Source!I276&lt;&gt;0, ROUND(J344/Source!I276, 2), 0)</f>
        <v>645.28</v>
      </c>
      <c r="P344" s="24">
        <f>J344</f>
        <v>2581.13</v>
      </c>
    </row>
    <row r="345" spans="1:22" ht="57" x14ac:dyDescent="0.2">
      <c r="A345" s="18">
        <v>33</v>
      </c>
      <c r="B345" s="18">
        <v>33</v>
      </c>
      <c r="C345" s="18" t="str">
        <f>Source!F277</f>
        <v>1.23-2103-41-1/1</v>
      </c>
      <c r="D345" s="18" t="str">
        <f>Source!G277</f>
        <v>Техническое обслуживание регулирующего клапана / Кран шаровой ПВХ 1/2 для подключения гибкой подводки</v>
      </c>
      <c r="E345" s="19" t="str">
        <f>Source!H277</f>
        <v>шт.</v>
      </c>
      <c r="F345" s="9">
        <f>Source!I277</f>
        <v>24</v>
      </c>
      <c r="G345" s="21"/>
      <c r="H345" s="20"/>
      <c r="I345" s="9"/>
      <c r="J345" s="9"/>
      <c r="K345" s="21"/>
      <c r="L345" s="21"/>
      <c r="Q345">
        <f>ROUND((Source!BZ277/100)*ROUND((Source!AF277*Source!AV277)*Source!I277, 2), 2)</f>
        <v>3494.4</v>
      </c>
      <c r="R345">
        <f>Source!X277</f>
        <v>3494.4</v>
      </c>
      <c r="S345">
        <f>ROUND((Source!CA277/100)*ROUND((Source!AF277*Source!AV277)*Source!I277, 2), 2)</f>
        <v>499.2</v>
      </c>
      <c r="T345">
        <f>Source!Y277</f>
        <v>499.2</v>
      </c>
      <c r="U345">
        <f>ROUND((175/100)*ROUND((Source!AE277*Source!AV277)*Source!I277, 2), 2)</f>
        <v>2081.94</v>
      </c>
      <c r="V345">
        <f>ROUND((108/100)*ROUND(Source!CS277*Source!I277, 2), 2)</f>
        <v>1284.8499999999999</v>
      </c>
    </row>
    <row r="346" spans="1:22" x14ac:dyDescent="0.2">
      <c r="D346" s="22" t="str">
        <f>"Объем: "&amp;Source!I277&amp;"=6*"&amp;"4"</f>
        <v>Объем: 24=6*4</v>
      </c>
    </row>
    <row r="347" spans="1:22" ht="14.25" x14ac:dyDescent="0.2">
      <c r="A347" s="18"/>
      <c r="B347" s="18"/>
      <c r="C347" s="18"/>
      <c r="D347" s="18" t="s">
        <v>461</v>
      </c>
      <c r="E347" s="19"/>
      <c r="F347" s="9"/>
      <c r="G347" s="21">
        <f>Source!AO277</f>
        <v>208</v>
      </c>
      <c r="H347" s="20" t="str">
        <f>Source!DG277</f>
        <v/>
      </c>
      <c r="I347" s="9">
        <f>Source!AV277</f>
        <v>1</v>
      </c>
      <c r="J347" s="9">
        <f>IF(Source!BA277&lt;&gt; 0, Source!BA277, 1)</f>
        <v>1</v>
      </c>
      <c r="K347" s="21">
        <f>Source!S277</f>
        <v>4992</v>
      </c>
      <c r="L347" s="21"/>
    </row>
    <row r="348" spans="1:22" ht="14.25" x14ac:dyDescent="0.2">
      <c r="A348" s="18"/>
      <c r="B348" s="18"/>
      <c r="C348" s="18"/>
      <c r="D348" s="18" t="s">
        <v>462</v>
      </c>
      <c r="E348" s="19"/>
      <c r="F348" s="9"/>
      <c r="G348" s="21">
        <f>Source!AM277</f>
        <v>78.180000000000007</v>
      </c>
      <c r="H348" s="20" t="str">
        <f>Source!DE277</f>
        <v/>
      </c>
      <c r="I348" s="9">
        <f>Source!AV277</f>
        <v>1</v>
      </c>
      <c r="J348" s="9">
        <f>IF(Source!BB277&lt;&gt; 0, Source!BB277, 1)</f>
        <v>1</v>
      </c>
      <c r="K348" s="21">
        <f>Source!Q277</f>
        <v>1876.32</v>
      </c>
      <c r="L348" s="21"/>
    </row>
    <row r="349" spans="1:22" ht="14.25" x14ac:dyDescent="0.2">
      <c r="A349" s="18"/>
      <c r="B349" s="18"/>
      <c r="C349" s="18"/>
      <c r="D349" s="18" t="s">
        <v>463</v>
      </c>
      <c r="E349" s="19"/>
      <c r="F349" s="9"/>
      <c r="G349" s="21">
        <f>Source!AN277</f>
        <v>49.57</v>
      </c>
      <c r="H349" s="20" t="str">
        <f>Source!DF277</f>
        <v/>
      </c>
      <c r="I349" s="9">
        <f>Source!AV277</f>
        <v>1</v>
      </c>
      <c r="J349" s="9">
        <f>IF(Source!BS277&lt;&gt; 0, Source!BS277, 1)</f>
        <v>1</v>
      </c>
      <c r="K349" s="23">
        <f>Source!R277</f>
        <v>1189.68</v>
      </c>
      <c r="L349" s="21"/>
    </row>
    <row r="350" spans="1:22" ht="14.25" x14ac:dyDescent="0.2">
      <c r="A350" s="18"/>
      <c r="B350" s="18"/>
      <c r="C350" s="18"/>
      <c r="D350" s="18" t="s">
        <v>465</v>
      </c>
      <c r="E350" s="19" t="s">
        <v>466</v>
      </c>
      <c r="F350" s="9">
        <f>Source!AT277</f>
        <v>70</v>
      </c>
      <c r="G350" s="21"/>
      <c r="H350" s="20"/>
      <c r="I350" s="9"/>
      <c r="J350" s="9"/>
      <c r="K350" s="21">
        <f>SUM(R345:R349)</f>
        <v>3494.4</v>
      </c>
      <c r="L350" s="21"/>
    </row>
    <row r="351" spans="1:22" ht="14.25" x14ac:dyDescent="0.2">
      <c r="A351" s="18"/>
      <c r="B351" s="18"/>
      <c r="C351" s="18"/>
      <c r="D351" s="18" t="s">
        <v>467</v>
      </c>
      <c r="E351" s="19" t="s">
        <v>466</v>
      </c>
      <c r="F351" s="9">
        <f>Source!AU277</f>
        <v>10</v>
      </c>
      <c r="G351" s="21"/>
      <c r="H351" s="20"/>
      <c r="I351" s="9"/>
      <c r="J351" s="9"/>
      <c r="K351" s="21">
        <f>SUM(T345:T350)</f>
        <v>499.2</v>
      </c>
      <c r="L351" s="21"/>
    </row>
    <row r="352" spans="1:22" ht="14.25" x14ac:dyDescent="0.2">
      <c r="A352" s="18"/>
      <c r="B352" s="18"/>
      <c r="C352" s="18"/>
      <c r="D352" s="18" t="s">
        <v>468</v>
      </c>
      <c r="E352" s="19" t="s">
        <v>466</v>
      </c>
      <c r="F352" s="9">
        <f>108</f>
        <v>108</v>
      </c>
      <c r="G352" s="21"/>
      <c r="H352" s="20"/>
      <c r="I352" s="9"/>
      <c r="J352" s="9"/>
      <c r="K352" s="21">
        <f>SUM(V345:V351)</f>
        <v>1284.8499999999999</v>
      </c>
      <c r="L352" s="21"/>
    </row>
    <row r="353" spans="1:22" ht="14.25" x14ac:dyDescent="0.2">
      <c r="A353" s="18"/>
      <c r="B353" s="18"/>
      <c r="C353" s="18"/>
      <c r="D353" s="18" t="s">
        <v>469</v>
      </c>
      <c r="E353" s="19" t="s">
        <v>470</v>
      </c>
      <c r="F353" s="9">
        <f>Source!AQ277</f>
        <v>0.37</v>
      </c>
      <c r="G353" s="21"/>
      <c r="H353" s="20" t="str">
        <f>Source!DI277</f>
        <v/>
      </c>
      <c r="I353" s="9">
        <f>Source!AV277</f>
        <v>1</v>
      </c>
      <c r="J353" s="9"/>
      <c r="K353" s="21"/>
      <c r="L353" s="21">
        <f>Source!U277</f>
        <v>8.879999999999999</v>
      </c>
    </row>
    <row r="354" spans="1:22" ht="15" x14ac:dyDescent="0.25">
      <c r="A354" s="26"/>
      <c r="B354" s="26"/>
      <c r="C354" s="26"/>
      <c r="D354" s="26"/>
      <c r="E354" s="26"/>
      <c r="F354" s="26"/>
      <c r="G354" s="26"/>
      <c r="H354" s="26"/>
      <c r="I354" s="26"/>
      <c r="J354" s="53">
        <f>K347+K348+K350+K351+K352</f>
        <v>12146.77</v>
      </c>
      <c r="K354" s="53"/>
      <c r="L354" s="27">
        <f>IF(Source!I277&lt;&gt;0, ROUND(J354/Source!I277, 2), 0)</f>
        <v>506.12</v>
      </c>
      <c r="P354" s="24">
        <f>J354</f>
        <v>12146.77</v>
      </c>
    </row>
    <row r="356" spans="1:22" ht="15" x14ac:dyDescent="0.25">
      <c r="A356" s="57" t="str">
        <f>CONCATENATE("Итого по подразделу: ",IF(Source!G279&lt;&gt;"Новый подраздел", Source!G279, ""))</f>
        <v>Итого по подразделу: Техническое помещение общее на модуль</v>
      </c>
      <c r="B356" s="57"/>
      <c r="C356" s="57"/>
      <c r="D356" s="57"/>
      <c r="E356" s="57"/>
      <c r="F356" s="57"/>
      <c r="G356" s="57"/>
      <c r="H356" s="57"/>
      <c r="I356" s="57"/>
      <c r="J356" s="55">
        <f>SUM(P315:P355)</f>
        <v>84299.17</v>
      </c>
      <c r="K356" s="56"/>
      <c r="L356" s="28"/>
    </row>
    <row r="359" spans="1:22" ht="16.5" x14ac:dyDescent="0.25">
      <c r="A359" s="54" t="str">
        <f>CONCATENATE("Подраздел: ",IF(Source!G309&lt;&gt;"Новый подраздел", Source!G309, ""))</f>
        <v>Подраздел: Электрооборудование</v>
      </c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</row>
    <row r="360" spans="1:22" ht="71.25" x14ac:dyDescent="0.2">
      <c r="A360" s="18">
        <v>34</v>
      </c>
      <c r="B360" s="18">
        <v>34</v>
      </c>
      <c r="C360" s="18" t="str">
        <f>Source!F313</f>
        <v>1.21-2203-2-5/1</v>
      </c>
      <c r="D360" s="18" t="str">
        <f>Source!G313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E360" s="19" t="str">
        <f>Source!H313</f>
        <v>шт.</v>
      </c>
      <c r="F360" s="9">
        <f>Source!I313</f>
        <v>4</v>
      </c>
      <c r="G360" s="21"/>
      <c r="H360" s="20"/>
      <c r="I360" s="9"/>
      <c r="J360" s="9"/>
      <c r="K360" s="21"/>
      <c r="L360" s="21"/>
      <c r="Q360">
        <f>ROUND((Source!BZ313/100)*ROUND((Source!AF313*Source!AV313)*Source!I313, 2), 2)</f>
        <v>41495.33</v>
      </c>
      <c r="R360">
        <f>Source!X313</f>
        <v>41495.33</v>
      </c>
      <c r="S360">
        <f>ROUND((Source!CA313/100)*ROUND((Source!AF313*Source!AV313)*Source!I313, 2), 2)</f>
        <v>5927.9</v>
      </c>
      <c r="T360">
        <f>Source!Y313</f>
        <v>5927.9</v>
      </c>
      <c r="U360">
        <f>ROUND((175/100)*ROUND((Source!AE313*Source!AV313)*Source!I313, 2), 2)</f>
        <v>0</v>
      </c>
      <c r="V360">
        <f>ROUND((108/100)*ROUND(Source!CS313*Source!I313, 2), 2)</f>
        <v>0</v>
      </c>
    </row>
    <row r="361" spans="1:22" ht="14.25" x14ac:dyDescent="0.2">
      <c r="A361" s="18"/>
      <c r="B361" s="18"/>
      <c r="C361" s="18"/>
      <c r="D361" s="18" t="s">
        <v>461</v>
      </c>
      <c r="E361" s="19"/>
      <c r="F361" s="9"/>
      <c r="G361" s="21">
        <f>Source!AO313</f>
        <v>14819.76</v>
      </c>
      <c r="H361" s="20" t="str">
        <f>Source!DG313</f>
        <v/>
      </c>
      <c r="I361" s="9">
        <f>Source!AV313</f>
        <v>1</v>
      </c>
      <c r="J361" s="9">
        <f>IF(Source!BA313&lt;&gt; 0, Source!BA313, 1)</f>
        <v>1</v>
      </c>
      <c r="K361" s="21">
        <f>Source!S313</f>
        <v>59279.040000000001</v>
      </c>
      <c r="L361" s="21"/>
    </row>
    <row r="362" spans="1:22" ht="14.25" x14ac:dyDescent="0.2">
      <c r="A362" s="18"/>
      <c r="B362" s="18"/>
      <c r="C362" s="18"/>
      <c r="D362" s="18" t="s">
        <v>464</v>
      </c>
      <c r="E362" s="19"/>
      <c r="F362" s="9"/>
      <c r="G362" s="21">
        <f>Source!AL313</f>
        <v>205.53</v>
      </c>
      <c r="H362" s="20" t="str">
        <f>Source!DD313</f>
        <v/>
      </c>
      <c r="I362" s="9">
        <f>Source!AW313</f>
        <v>1</v>
      </c>
      <c r="J362" s="9">
        <f>IF(Source!BC313&lt;&gt; 0, Source!BC313, 1)</f>
        <v>1</v>
      </c>
      <c r="K362" s="21">
        <f>Source!P313</f>
        <v>822.12</v>
      </c>
      <c r="L362" s="21"/>
    </row>
    <row r="363" spans="1:22" ht="14.25" x14ac:dyDescent="0.2">
      <c r="A363" s="18"/>
      <c r="B363" s="18"/>
      <c r="C363" s="18"/>
      <c r="D363" s="18" t="s">
        <v>465</v>
      </c>
      <c r="E363" s="19" t="s">
        <v>466</v>
      </c>
      <c r="F363" s="9">
        <f>Source!AT313</f>
        <v>70</v>
      </c>
      <c r="G363" s="21"/>
      <c r="H363" s="20"/>
      <c r="I363" s="9"/>
      <c r="J363" s="9"/>
      <c r="K363" s="21">
        <f>SUM(R360:R362)</f>
        <v>41495.33</v>
      </c>
      <c r="L363" s="21"/>
    </row>
    <row r="364" spans="1:22" ht="14.25" x14ac:dyDescent="0.2">
      <c r="A364" s="18"/>
      <c r="B364" s="18"/>
      <c r="C364" s="18"/>
      <c r="D364" s="18" t="s">
        <v>467</v>
      </c>
      <c r="E364" s="19" t="s">
        <v>466</v>
      </c>
      <c r="F364" s="9">
        <f>Source!AU313</f>
        <v>10</v>
      </c>
      <c r="G364" s="21"/>
      <c r="H364" s="20"/>
      <c r="I364" s="9"/>
      <c r="J364" s="9"/>
      <c r="K364" s="21">
        <f>SUM(T360:T363)</f>
        <v>5927.9</v>
      </c>
      <c r="L364" s="21"/>
    </row>
    <row r="365" spans="1:22" ht="14.25" x14ac:dyDescent="0.2">
      <c r="A365" s="18"/>
      <c r="B365" s="18"/>
      <c r="C365" s="18"/>
      <c r="D365" s="18" t="s">
        <v>469</v>
      </c>
      <c r="E365" s="19" t="s">
        <v>470</v>
      </c>
      <c r="F365" s="9">
        <f>Source!AQ313</f>
        <v>24</v>
      </c>
      <c r="G365" s="21"/>
      <c r="H365" s="20" t="str">
        <f>Source!DI313</f>
        <v/>
      </c>
      <c r="I365" s="9">
        <f>Source!AV313</f>
        <v>1</v>
      </c>
      <c r="J365" s="9"/>
      <c r="K365" s="21"/>
      <c r="L365" s="21">
        <f>Source!U313</f>
        <v>96</v>
      </c>
    </row>
    <row r="366" spans="1:22" ht="15" x14ac:dyDescent="0.25">
      <c r="A366" s="26"/>
      <c r="B366" s="26"/>
      <c r="C366" s="26"/>
      <c r="D366" s="26"/>
      <c r="E366" s="26"/>
      <c r="F366" s="26"/>
      <c r="G366" s="26"/>
      <c r="H366" s="26"/>
      <c r="I366" s="26"/>
      <c r="J366" s="53">
        <f>K361+K362+K363+K364</f>
        <v>107524.39</v>
      </c>
      <c r="K366" s="53"/>
      <c r="L366" s="27">
        <f>IF(Source!I313&lt;&gt;0, ROUND(J366/Source!I313, 2), 0)</f>
        <v>26881.1</v>
      </c>
      <c r="P366" s="24">
        <f>J366</f>
        <v>107524.39</v>
      </c>
    </row>
    <row r="367" spans="1:22" ht="57" x14ac:dyDescent="0.2">
      <c r="A367" s="18">
        <v>35</v>
      </c>
      <c r="B367" s="18">
        <v>35</v>
      </c>
      <c r="C367" s="18" t="str">
        <f>Source!F316</f>
        <v>1.21-2303-50-1/1</v>
      </c>
      <c r="D367" s="18" t="str">
        <f>Source!G316</f>
        <v>Техническое обслуживание  конвектора электрического настенного крепления, с механическим термостатом, мощность до 2,0 кВт</v>
      </c>
      <c r="E367" s="19" t="str">
        <f>Source!H316</f>
        <v>шт.</v>
      </c>
      <c r="F367" s="9">
        <f>Source!I316</f>
        <v>4</v>
      </c>
      <c r="G367" s="21"/>
      <c r="H367" s="20"/>
      <c r="I367" s="9"/>
      <c r="J367" s="9"/>
      <c r="K367" s="21"/>
      <c r="L367" s="21"/>
      <c r="Q367">
        <f>ROUND((Source!BZ316/100)*ROUND((Source!AF316*Source!AV316)*Source!I316, 2), 2)</f>
        <v>242.06</v>
      </c>
      <c r="R367">
        <f>Source!X316</f>
        <v>242.06</v>
      </c>
      <c r="S367">
        <f>ROUND((Source!CA316/100)*ROUND((Source!AF316*Source!AV316)*Source!I316, 2), 2)</f>
        <v>34.58</v>
      </c>
      <c r="T367">
        <f>Source!Y316</f>
        <v>34.58</v>
      </c>
      <c r="U367">
        <f>ROUND((175/100)*ROUND((Source!AE316*Source!AV316)*Source!I316, 2), 2)</f>
        <v>0</v>
      </c>
      <c r="V367">
        <f>ROUND((108/100)*ROUND(Source!CS316*Source!I316, 2), 2)</f>
        <v>0</v>
      </c>
    </row>
    <row r="368" spans="1:22" x14ac:dyDescent="0.2">
      <c r="D368" s="22" t="str">
        <f>"Объем: "&amp;Source!I316&amp;"=1*"&amp;"4"</f>
        <v>Объем: 4=1*4</v>
      </c>
    </row>
    <row r="369" spans="1:22" ht="14.25" x14ac:dyDescent="0.2">
      <c r="A369" s="18"/>
      <c r="B369" s="18"/>
      <c r="C369" s="18"/>
      <c r="D369" s="18" t="s">
        <v>461</v>
      </c>
      <c r="E369" s="19"/>
      <c r="F369" s="9"/>
      <c r="G369" s="21">
        <f>Source!AO316</f>
        <v>86.45</v>
      </c>
      <c r="H369" s="20" t="str">
        <f>Source!DG316</f>
        <v/>
      </c>
      <c r="I369" s="9">
        <f>Source!AV316</f>
        <v>1</v>
      </c>
      <c r="J369" s="9">
        <f>IF(Source!BA316&lt;&gt; 0, Source!BA316, 1)</f>
        <v>1</v>
      </c>
      <c r="K369" s="21">
        <f>Source!S316</f>
        <v>345.8</v>
      </c>
      <c r="L369" s="21"/>
    </row>
    <row r="370" spans="1:22" ht="14.25" x14ac:dyDescent="0.2">
      <c r="A370" s="18"/>
      <c r="B370" s="18"/>
      <c r="C370" s="18"/>
      <c r="D370" s="18" t="s">
        <v>462</v>
      </c>
      <c r="E370" s="19"/>
      <c r="F370" s="9"/>
      <c r="G370" s="21">
        <f>Source!AM316</f>
        <v>0.23</v>
      </c>
      <c r="H370" s="20" t="str">
        <f>Source!DE316</f>
        <v/>
      </c>
      <c r="I370" s="9">
        <f>Source!AV316</f>
        <v>1</v>
      </c>
      <c r="J370" s="9">
        <f>IF(Source!BB316&lt;&gt; 0, Source!BB316, 1)</f>
        <v>1</v>
      </c>
      <c r="K370" s="21">
        <f>Source!Q316</f>
        <v>0.92</v>
      </c>
      <c r="L370" s="21"/>
    </row>
    <row r="371" spans="1:22" ht="14.25" x14ac:dyDescent="0.2">
      <c r="A371" s="18"/>
      <c r="B371" s="18"/>
      <c r="C371" s="18"/>
      <c r="D371" s="18" t="s">
        <v>464</v>
      </c>
      <c r="E371" s="19"/>
      <c r="F371" s="9"/>
      <c r="G371" s="21">
        <f>Source!AL316</f>
        <v>2.2000000000000002</v>
      </c>
      <c r="H371" s="20" t="str">
        <f>Source!DD316</f>
        <v/>
      </c>
      <c r="I371" s="9">
        <f>Source!AW316</f>
        <v>1</v>
      </c>
      <c r="J371" s="9">
        <f>IF(Source!BC316&lt;&gt; 0, Source!BC316, 1)</f>
        <v>1</v>
      </c>
      <c r="K371" s="21">
        <f>Source!P316</f>
        <v>8.8000000000000007</v>
      </c>
      <c r="L371" s="21"/>
    </row>
    <row r="372" spans="1:22" ht="14.25" x14ac:dyDescent="0.2">
      <c r="A372" s="18"/>
      <c r="B372" s="18"/>
      <c r="C372" s="18"/>
      <c r="D372" s="18" t="s">
        <v>465</v>
      </c>
      <c r="E372" s="19" t="s">
        <v>466</v>
      </c>
      <c r="F372" s="9">
        <f>Source!AT316</f>
        <v>70</v>
      </c>
      <c r="G372" s="21"/>
      <c r="H372" s="20"/>
      <c r="I372" s="9"/>
      <c r="J372" s="9"/>
      <c r="K372" s="21">
        <f>SUM(R367:R371)</f>
        <v>242.06</v>
      </c>
      <c r="L372" s="21"/>
    </row>
    <row r="373" spans="1:22" ht="14.25" x14ac:dyDescent="0.2">
      <c r="A373" s="18"/>
      <c r="B373" s="18"/>
      <c r="C373" s="18"/>
      <c r="D373" s="18" t="s">
        <v>467</v>
      </c>
      <c r="E373" s="19" t="s">
        <v>466</v>
      </c>
      <c r="F373" s="9">
        <f>Source!AU316</f>
        <v>10</v>
      </c>
      <c r="G373" s="21"/>
      <c r="H373" s="20"/>
      <c r="I373" s="9"/>
      <c r="J373" s="9"/>
      <c r="K373" s="21">
        <f>SUM(T367:T372)</f>
        <v>34.58</v>
      </c>
      <c r="L373" s="21"/>
    </row>
    <row r="374" spans="1:22" ht="14.25" x14ac:dyDescent="0.2">
      <c r="A374" s="18"/>
      <c r="B374" s="18"/>
      <c r="C374" s="18"/>
      <c r="D374" s="18" t="s">
        <v>469</v>
      </c>
      <c r="E374" s="19" t="s">
        <v>470</v>
      </c>
      <c r="F374" s="9">
        <f>Source!AQ316</f>
        <v>0.14000000000000001</v>
      </c>
      <c r="G374" s="21"/>
      <c r="H374" s="20" t="str">
        <f>Source!DI316</f>
        <v/>
      </c>
      <c r="I374" s="9">
        <f>Source!AV316</f>
        <v>1</v>
      </c>
      <c r="J374" s="9"/>
      <c r="K374" s="21"/>
      <c r="L374" s="21">
        <f>Source!U316</f>
        <v>0.56000000000000005</v>
      </c>
    </row>
    <row r="375" spans="1:22" ht="15" x14ac:dyDescent="0.25">
      <c r="A375" s="26"/>
      <c r="B375" s="26"/>
      <c r="C375" s="26"/>
      <c r="D375" s="26"/>
      <c r="E375" s="26"/>
      <c r="F375" s="26"/>
      <c r="G375" s="26"/>
      <c r="H375" s="26"/>
      <c r="I375" s="26"/>
      <c r="J375" s="53">
        <f>K369+K370+K371+K372+K373</f>
        <v>632.16000000000008</v>
      </c>
      <c r="K375" s="53"/>
      <c r="L375" s="27">
        <f>IF(Source!I316&lt;&gt;0, ROUND(J375/Source!I316, 2), 0)</f>
        <v>158.04</v>
      </c>
      <c r="P375" s="24">
        <f>J375</f>
        <v>632.16000000000008</v>
      </c>
    </row>
    <row r="376" spans="1:22" ht="57" x14ac:dyDescent="0.2">
      <c r="A376" s="18">
        <v>36</v>
      </c>
      <c r="B376" s="18">
        <v>36</v>
      </c>
      <c r="C376" s="18" t="str">
        <f>Source!F318</f>
        <v>1.17-2103-15-3/1</v>
      </c>
      <c r="D376" s="18" t="str">
        <f>Source!G318</f>
        <v>Техническое обслуживание конвекторов, встраиваемых в пол, длиной короба 1100 мм, шириной короба до 260 мм</v>
      </c>
      <c r="E376" s="19" t="str">
        <f>Source!H318</f>
        <v>10 шт.</v>
      </c>
      <c r="F376" s="9">
        <f>Source!I318</f>
        <v>0.8</v>
      </c>
      <c r="G376" s="21"/>
      <c r="H376" s="20"/>
      <c r="I376" s="9"/>
      <c r="J376" s="9"/>
      <c r="K376" s="21"/>
      <c r="L376" s="21"/>
      <c r="Q376">
        <f>ROUND((Source!BZ318/100)*ROUND((Source!AF318*Source!AV318)*Source!I318, 2), 2)</f>
        <v>585.46</v>
      </c>
      <c r="R376">
        <f>Source!X318</f>
        <v>585.46</v>
      </c>
      <c r="S376">
        <f>ROUND((Source!CA318/100)*ROUND((Source!AF318*Source!AV318)*Source!I318, 2), 2)</f>
        <v>83.64</v>
      </c>
      <c r="T376">
        <f>Source!Y318</f>
        <v>83.64</v>
      </c>
      <c r="U376">
        <f>ROUND((175/100)*ROUND((Source!AE318*Source!AV318)*Source!I318, 2), 2)</f>
        <v>0.09</v>
      </c>
      <c r="V376">
        <f>ROUND((108/100)*ROUND(Source!CS318*Source!I318, 2), 2)</f>
        <v>0.05</v>
      </c>
    </row>
    <row r="377" spans="1:22" x14ac:dyDescent="0.2">
      <c r="D377" s="22" t="str">
        <f>"Объем: "&amp;Source!I318&amp;"=2*"&amp;"4/"&amp;"10"</f>
        <v>Объем: 0,8=2*4/10</v>
      </c>
    </row>
    <row r="378" spans="1:22" ht="14.25" x14ac:dyDescent="0.2">
      <c r="A378" s="18"/>
      <c r="B378" s="18"/>
      <c r="C378" s="18"/>
      <c r="D378" s="18" t="s">
        <v>461</v>
      </c>
      <c r="E378" s="19"/>
      <c r="F378" s="9"/>
      <c r="G378" s="21">
        <f>Source!AO318</f>
        <v>1045.46</v>
      </c>
      <c r="H378" s="20" t="str">
        <f>Source!DG318</f>
        <v/>
      </c>
      <c r="I378" s="9">
        <f>Source!AV318</f>
        <v>1</v>
      </c>
      <c r="J378" s="9">
        <f>IF(Source!BA318&lt;&gt; 0, Source!BA318, 1)</f>
        <v>1</v>
      </c>
      <c r="K378" s="21">
        <f>Source!S318</f>
        <v>836.37</v>
      </c>
      <c r="L378" s="21"/>
    </row>
    <row r="379" spans="1:22" ht="14.25" x14ac:dyDescent="0.2">
      <c r="A379" s="18"/>
      <c r="B379" s="18"/>
      <c r="C379" s="18"/>
      <c r="D379" s="18" t="s">
        <v>462</v>
      </c>
      <c r="E379" s="19"/>
      <c r="F379" s="9"/>
      <c r="G379" s="21">
        <f>Source!AM318</f>
        <v>4.09</v>
      </c>
      <c r="H379" s="20" t="str">
        <f>Source!DE318</f>
        <v/>
      </c>
      <c r="I379" s="9">
        <f>Source!AV318</f>
        <v>1</v>
      </c>
      <c r="J379" s="9">
        <f>IF(Source!BB318&lt;&gt; 0, Source!BB318, 1)</f>
        <v>1</v>
      </c>
      <c r="K379" s="21">
        <f>Source!Q318</f>
        <v>3.27</v>
      </c>
      <c r="L379" s="21"/>
    </row>
    <row r="380" spans="1:22" ht="14.25" x14ac:dyDescent="0.2">
      <c r="A380" s="18"/>
      <c r="B380" s="18"/>
      <c r="C380" s="18"/>
      <c r="D380" s="18" t="s">
        <v>463</v>
      </c>
      <c r="E380" s="19"/>
      <c r="F380" s="9"/>
      <c r="G380" s="21">
        <f>Source!AN318</f>
        <v>0.06</v>
      </c>
      <c r="H380" s="20" t="str">
        <f>Source!DF318</f>
        <v/>
      </c>
      <c r="I380" s="9">
        <f>Source!AV318</f>
        <v>1</v>
      </c>
      <c r="J380" s="9">
        <f>IF(Source!BS318&lt;&gt; 0, Source!BS318, 1)</f>
        <v>1</v>
      </c>
      <c r="K380" s="23">
        <f>Source!R318</f>
        <v>0.05</v>
      </c>
      <c r="L380" s="21"/>
    </row>
    <row r="381" spans="1:22" ht="14.25" x14ac:dyDescent="0.2">
      <c r="A381" s="18"/>
      <c r="B381" s="18"/>
      <c r="C381" s="18"/>
      <c r="D381" s="18" t="s">
        <v>464</v>
      </c>
      <c r="E381" s="19"/>
      <c r="F381" s="9"/>
      <c r="G381" s="21">
        <f>Source!AL318</f>
        <v>1.67</v>
      </c>
      <c r="H381" s="20" t="str">
        <f>Source!DD318</f>
        <v/>
      </c>
      <c r="I381" s="9">
        <f>Source!AW318</f>
        <v>1</v>
      </c>
      <c r="J381" s="9">
        <f>IF(Source!BC318&lt;&gt; 0, Source!BC318, 1)</f>
        <v>1</v>
      </c>
      <c r="K381" s="21">
        <f>Source!P318</f>
        <v>1.34</v>
      </c>
      <c r="L381" s="21"/>
    </row>
    <row r="382" spans="1:22" ht="14.25" x14ac:dyDescent="0.2">
      <c r="A382" s="18"/>
      <c r="B382" s="18"/>
      <c r="C382" s="18"/>
      <c r="D382" s="18" t="s">
        <v>465</v>
      </c>
      <c r="E382" s="19" t="s">
        <v>466</v>
      </c>
      <c r="F382" s="9">
        <f>Source!AT318</f>
        <v>70</v>
      </c>
      <c r="G382" s="21"/>
      <c r="H382" s="20"/>
      <c r="I382" s="9"/>
      <c r="J382" s="9"/>
      <c r="K382" s="21">
        <f>SUM(R376:R381)</f>
        <v>585.46</v>
      </c>
      <c r="L382" s="21"/>
    </row>
    <row r="383" spans="1:22" ht="14.25" x14ac:dyDescent="0.2">
      <c r="A383" s="18"/>
      <c r="B383" s="18"/>
      <c r="C383" s="18"/>
      <c r="D383" s="18" t="s">
        <v>467</v>
      </c>
      <c r="E383" s="19" t="s">
        <v>466</v>
      </c>
      <c r="F383" s="9">
        <f>Source!AU318</f>
        <v>10</v>
      </c>
      <c r="G383" s="21"/>
      <c r="H383" s="20"/>
      <c r="I383" s="9"/>
      <c r="J383" s="9"/>
      <c r="K383" s="21">
        <f>SUM(T376:T382)</f>
        <v>83.64</v>
      </c>
      <c r="L383" s="21"/>
    </row>
    <row r="384" spans="1:22" ht="14.25" x14ac:dyDescent="0.2">
      <c r="A384" s="18"/>
      <c r="B384" s="18"/>
      <c r="C384" s="18"/>
      <c r="D384" s="18" t="s">
        <v>468</v>
      </c>
      <c r="E384" s="19" t="s">
        <v>466</v>
      </c>
      <c r="F384" s="9">
        <f>108</f>
        <v>108</v>
      </c>
      <c r="G384" s="21"/>
      <c r="H384" s="20"/>
      <c r="I384" s="9"/>
      <c r="J384" s="9"/>
      <c r="K384" s="21">
        <f>SUM(V376:V383)</f>
        <v>0.05</v>
      </c>
      <c r="L384" s="21"/>
    </row>
    <row r="385" spans="1:22" ht="14.25" x14ac:dyDescent="0.2">
      <c r="A385" s="18"/>
      <c r="B385" s="18"/>
      <c r="C385" s="18"/>
      <c r="D385" s="18" t="s">
        <v>469</v>
      </c>
      <c r="E385" s="19" t="s">
        <v>470</v>
      </c>
      <c r="F385" s="9">
        <f>Source!AQ318</f>
        <v>1.84</v>
      </c>
      <c r="G385" s="21"/>
      <c r="H385" s="20" t="str">
        <f>Source!DI318</f>
        <v/>
      </c>
      <c r="I385" s="9">
        <f>Source!AV318</f>
        <v>1</v>
      </c>
      <c r="J385" s="9"/>
      <c r="K385" s="21"/>
      <c r="L385" s="21">
        <f>Source!U318</f>
        <v>1.4720000000000002</v>
      </c>
    </row>
    <row r="386" spans="1:22" ht="15" x14ac:dyDescent="0.25">
      <c r="A386" s="26"/>
      <c r="B386" s="26"/>
      <c r="C386" s="26"/>
      <c r="D386" s="26"/>
      <c r="E386" s="26"/>
      <c r="F386" s="26"/>
      <c r="G386" s="26"/>
      <c r="H386" s="26"/>
      <c r="I386" s="26"/>
      <c r="J386" s="53">
        <f>K378+K379+K381+K382+K383+K384</f>
        <v>1510.13</v>
      </c>
      <c r="K386" s="53"/>
      <c r="L386" s="27">
        <f>IF(Source!I318&lt;&gt;0, ROUND(J386/Source!I318, 2), 0)</f>
        <v>1887.66</v>
      </c>
      <c r="P386" s="24">
        <f>J386</f>
        <v>1510.13</v>
      </c>
    </row>
    <row r="387" spans="1:22" ht="57" x14ac:dyDescent="0.2">
      <c r="A387" s="18">
        <v>37</v>
      </c>
      <c r="B387" s="18">
        <v>37</v>
      </c>
      <c r="C387" s="18" t="str">
        <f>Source!F319</f>
        <v>1.17-2103-15-3/1</v>
      </c>
      <c r="D387" s="18" t="str">
        <f>Source!G319</f>
        <v>Техническое обслуживание конвекторов, встраиваемых в пол, длиной короба 1100 мм, шириной короба до 260 мм</v>
      </c>
      <c r="E387" s="19" t="str">
        <f>Source!H319</f>
        <v>10 шт.</v>
      </c>
      <c r="F387" s="9">
        <f>Source!I319</f>
        <v>0.8</v>
      </c>
      <c r="G387" s="21"/>
      <c r="H387" s="20"/>
      <c r="I387" s="9"/>
      <c r="J387" s="9"/>
      <c r="K387" s="21"/>
      <c r="L387" s="21"/>
      <c r="Q387">
        <f>ROUND((Source!BZ319/100)*ROUND((Source!AF319*Source!AV319)*Source!I319, 2), 2)</f>
        <v>585.46</v>
      </c>
      <c r="R387">
        <f>Source!X319</f>
        <v>585.46</v>
      </c>
      <c r="S387">
        <f>ROUND((Source!CA319/100)*ROUND((Source!AF319*Source!AV319)*Source!I319, 2), 2)</f>
        <v>83.64</v>
      </c>
      <c r="T387">
        <f>Source!Y319</f>
        <v>83.64</v>
      </c>
      <c r="U387">
        <f>ROUND((175/100)*ROUND((Source!AE319*Source!AV319)*Source!I319, 2), 2)</f>
        <v>0.09</v>
      </c>
      <c r="V387">
        <f>ROUND((108/100)*ROUND(Source!CS319*Source!I319, 2), 2)</f>
        <v>0.05</v>
      </c>
    </row>
    <row r="388" spans="1:22" x14ac:dyDescent="0.2">
      <c r="D388" s="22" t="str">
        <f>"Объем: "&amp;Source!I319&amp;"=2*"&amp;"4/"&amp;"10"</f>
        <v>Объем: 0,8=2*4/10</v>
      </c>
    </row>
    <row r="389" spans="1:22" ht="14.25" x14ac:dyDescent="0.2">
      <c r="A389" s="18"/>
      <c r="B389" s="18"/>
      <c r="C389" s="18"/>
      <c r="D389" s="18" t="s">
        <v>461</v>
      </c>
      <c r="E389" s="19"/>
      <c r="F389" s="9"/>
      <c r="G389" s="21">
        <f>Source!AO319</f>
        <v>1045.46</v>
      </c>
      <c r="H389" s="20" t="str">
        <f>Source!DG319</f>
        <v/>
      </c>
      <c r="I389" s="9">
        <f>Source!AV319</f>
        <v>1</v>
      </c>
      <c r="J389" s="9">
        <f>IF(Source!BA319&lt;&gt; 0, Source!BA319, 1)</f>
        <v>1</v>
      </c>
      <c r="K389" s="21">
        <f>Source!S319</f>
        <v>836.37</v>
      </c>
      <c r="L389" s="21"/>
    </row>
    <row r="390" spans="1:22" ht="14.25" x14ac:dyDescent="0.2">
      <c r="A390" s="18"/>
      <c r="B390" s="18"/>
      <c r="C390" s="18"/>
      <c r="D390" s="18" t="s">
        <v>462</v>
      </c>
      <c r="E390" s="19"/>
      <c r="F390" s="9"/>
      <c r="G390" s="21">
        <f>Source!AM319</f>
        <v>4.09</v>
      </c>
      <c r="H390" s="20" t="str">
        <f>Source!DE319</f>
        <v/>
      </c>
      <c r="I390" s="9">
        <f>Source!AV319</f>
        <v>1</v>
      </c>
      <c r="J390" s="9">
        <f>IF(Source!BB319&lt;&gt; 0, Source!BB319, 1)</f>
        <v>1</v>
      </c>
      <c r="K390" s="21">
        <f>Source!Q319</f>
        <v>3.27</v>
      </c>
      <c r="L390" s="21"/>
    </row>
    <row r="391" spans="1:22" ht="14.25" x14ac:dyDescent="0.2">
      <c r="A391" s="18"/>
      <c r="B391" s="18"/>
      <c r="C391" s="18"/>
      <c r="D391" s="18" t="s">
        <v>463</v>
      </c>
      <c r="E391" s="19"/>
      <c r="F391" s="9"/>
      <c r="G391" s="21">
        <f>Source!AN319</f>
        <v>0.06</v>
      </c>
      <c r="H391" s="20" t="str">
        <f>Source!DF319</f>
        <v/>
      </c>
      <c r="I391" s="9">
        <f>Source!AV319</f>
        <v>1</v>
      </c>
      <c r="J391" s="9">
        <f>IF(Source!BS319&lt;&gt; 0, Source!BS319, 1)</f>
        <v>1</v>
      </c>
      <c r="K391" s="23">
        <f>Source!R319</f>
        <v>0.05</v>
      </c>
      <c r="L391" s="21"/>
    </row>
    <row r="392" spans="1:22" ht="14.25" x14ac:dyDescent="0.2">
      <c r="A392" s="18"/>
      <c r="B392" s="18"/>
      <c r="C392" s="18"/>
      <c r="D392" s="18" t="s">
        <v>464</v>
      </c>
      <c r="E392" s="19"/>
      <c r="F392" s="9"/>
      <c r="G392" s="21">
        <f>Source!AL319</f>
        <v>1.67</v>
      </c>
      <c r="H392" s="20" t="str">
        <f>Source!DD319</f>
        <v/>
      </c>
      <c r="I392" s="9">
        <f>Source!AW319</f>
        <v>1</v>
      </c>
      <c r="J392" s="9">
        <f>IF(Source!BC319&lt;&gt; 0, Source!BC319, 1)</f>
        <v>1</v>
      </c>
      <c r="K392" s="21">
        <f>Source!P319</f>
        <v>1.34</v>
      </c>
      <c r="L392" s="21"/>
    </row>
    <row r="393" spans="1:22" ht="14.25" x14ac:dyDescent="0.2">
      <c r="A393" s="18"/>
      <c r="B393" s="18"/>
      <c r="C393" s="18"/>
      <c r="D393" s="18" t="s">
        <v>465</v>
      </c>
      <c r="E393" s="19" t="s">
        <v>466</v>
      </c>
      <c r="F393" s="9">
        <f>Source!AT319</f>
        <v>70</v>
      </c>
      <c r="G393" s="21"/>
      <c r="H393" s="20"/>
      <c r="I393" s="9"/>
      <c r="J393" s="9"/>
      <c r="K393" s="21">
        <f>SUM(R387:R392)</f>
        <v>585.46</v>
      </c>
      <c r="L393" s="21"/>
    </row>
    <row r="394" spans="1:22" ht="14.25" x14ac:dyDescent="0.2">
      <c r="A394" s="18"/>
      <c r="B394" s="18"/>
      <c r="C394" s="18"/>
      <c r="D394" s="18" t="s">
        <v>467</v>
      </c>
      <c r="E394" s="19" t="s">
        <v>466</v>
      </c>
      <c r="F394" s="9">
        <f>Source!AU319</f>
        <v>10</v>
      </c>
      <c r="G394" s="21"/>
      <c r="H394" s="20"/>
      <c r="I394" s="9"/>
      <c r="J394" s="9"/>
      <c r="K394" s="21">
        <f>SUM(T387:T393)</f>
        <v>83.64</v>
      </c>
      <c r="L394" s="21"/>
    </row>
    <row r="395" spans="1:22" ht="14.25" x14ac:dyDescent="0.2">
      <c r="A395" s="18"/>
      <c r="B395" s="18"/>
      <c r="C395" s="18"/>
      <c r="D395" s="18" t="s">
        <v>468</v>
      </c>
      <c r="E395" s="19" t="s">
        <v>466</v>
      </c>
      <c r="F395" s="9">
        <f>108</f>
        <v>108</v>
      </c>
      <c r="G395" s="21"/>
      <c r="H395" s="20"/>
      <c r="I395" s="9"/>
      <c r="J395" s="9"/>
      <c r="K395" s="21">
        <f>SUM(V387:V394)</f>
        <v>0.05</v>
      </c>
      <c r="L395" s="21"/>
    </row>
    <row r="396" spans="1:22" ht="14.25" x14ac:dyDescent="0.2">
      <c r="A396" s="18"/>
      <c r="B396" s="18"/>
      <c r="C396" s="18"/>
      <c r="D396" s="18" t="s">
        <v>469</v>
      </c>
      <c r="E396" s="19" t="s">
        <v>470</v>
      </c>
      <c r="F396" s="9">
        <f>Source!AQ319</f>
        <v>1.84</v>
      </c>
      <c r="G396" s="21"/>
      <c r="H396" s="20" t="str">
        <f>Source!DI319</f>
        <v/>
      </c>
      <c r="I396" s="9">
        <f>Source!AV319</f>
        <v>1</v>
      </c>
      <c r="J396" s="9"/>
      <c r="K396" s="21"/>
      <c r="L396" s="21">
        <f>Source!U319</f>
        <v>1.4720000000000002</v>
      </c>
    </row>
    <row r="397" spans="1:22" ht="15" x14ac:dyDescent="0.25">
      <c r="A397" s="26"/>
      <c r="B397" s="26"/>
      <c r="C397" s="26"/>
      <c r="D397" s="26"/>
      <c r="E397" s="26"/>
      <c r="F397" s="26"/>
      <c r="G397" s="26"/>
      <c r="H397" s="26"/>
      <c r="I397" s="26"/>
      <c r="J397" s="53">
        <f>K389+K390+K392+K393+K394+K395</f>
        <v>1510.13</v>
      </c>
      <c r="K397" s="53"/>
      <c r="L397" s="27">
        <f>IF(Source!I319&lt;&gt;0, ROUND(J397/Source!I319, 2), 0)</f>
        <v>1887.66</v>
      </c>
      <c r="P397" s="24">
        <f>J397</f>
        <v>1510.13</v>
      </c>
    </row>
    <row r="398" spans="1:22" ht="165" x14ac:dyDescent="0.2">
      <c r="A398" s="18">
        <v>38</v>
      </c>
      <c r="B398" s="18">
        <v>38</v>
      </c>
      <c r="C398" s="18" t="s">
        <v>473</v>
      </c>
      <c r="D398" s="18" t="s">
        <v>474</v>
      </c>
      <c r="E398" s="19" t="str">
        <f>Source!H324</f>
        <v>шт.</v>
      </c>
      <c r="F398" s="9">
        <f>Source!I324</f>
        <v>12</v>
      </c>
      <c r="G398" s="21"/>
      <c r="H398" s="20"/>
      <c r="I398" s="9"/>
      <c r="J398" s="9"/>
      <c r="K398" s="21"/>
      <c r="L398" s="21"/>
      <c r="Q398">
        <f>ROUND((Source!BZ324/100)*ROUND((Source!AF324*Source!AV324)*Source!I324, 2), 2)</f>
        <v>1473.33</v>
      </c>
      <c r="R398">
        <f>Source!X324</f>
        <v>1473.33</v>
      </c>
      <c r="S398">
        <f>ROUND((Source!CA324/100)*ROUND((Source!AF324*Source!AV324)*Source!I324, 2), 2)</f>
        <v>210.48</v>
      </c>
      <c r="T398">
        <f>Source!Y324</f>
        <v>210.48</v>
      </c>
      <c r="U398">
        <f>ROUND((175/100)*ROUND((Source!AE324*Source!AV324)*Source!I324, 2), 2)</f>
        <v>0</v>
      </c>
      <c r="V398">
        <f>ROUND((108/100)*ROUND(Source!CS324*Source!I324, 2), 2)</f>
        <v>0</v>
      </c>
    </row>
    <row r="399" spans="1:22" x14ac:dyDescent="0.2">
      <c r="D399" s="22" t="str">
        <f>"Объем: "&amp;Source!I324&amp;"=(3)*"&amp;"4"</f>
        <v>Объем: 12=(3)*4</v>
      </c>
    </row>
    <row r="400" spans="1:22" ht="14.25" x14ac:dyDescent="0.2">
      <c r="A400" s="18"/>
      <c r="B400" s="18"/>
      <c r="C400" s="18"/>
      <c r="D400" s="18" t="s">
        <v>461</v>
      </c>
      <c r="E400" s="19"/>
      <c r="F400" s="9"/>
      <c r="G400" s="21">
        <f>Source!AO324</f>
        <v>168.65</v>
      </c>
      <c r="H400" s="20" t="str">
        <f>Source!DG324</f>
        <v>)*1,04</v>
      </c>
      <c r="I400" s="9">
        <f>Source!AV324</f>
        <v>1</v>
      </c>
      <c r="J400" s="9">
        <f>IF(Source!BA324&lt;&gt; 0, Source!BA324, 1)</f>
        <v>1</v>
      </c>
      <c r="K400" s="21">
        <f>Source!S324</f>
        <v>2104.75</v>
      </c>
      <c r="L400" s="21"/>
    </row>
    <row r="401" spans="1:22" ht="14.25" x14ac:dyDescent="0.2">
      <c r="A401" s="18"/>
      <c r="B401" s="18"/>
      <c r="C401" s="18"/>
      <c r="D401" s="18" t="s">
        <v>464</v>
      </c>
      <c r="E401" s="19"/>
      <c r="F401" s="9"/>
      <c r="G401" s="21">
        <f>Source!AL324</f>
        <v>0.63</v>
      </c>
      <c r="H401" s="20" t="str">
        <f>Source!DD324</f>
        <v/>
      </c>
      <c r="I401" s="9">
        <f>Source!AW324</f>
        <v>1</v>
      </c>
      <c r="J401" s="9">
        <f>IF(Source!BC324&lt;&gt; 0, Source!BC324, 1)</f>
        <v>1</v>
      </c>
      <c r="K401" s="21">
        <f>Source!P324</f>
        <v>7.56</v>
      </c>
      <c r="L401" s="21"/>
    </row>
    <row r="402" spans="1:22" ht="14.25" x14ac:dyDescent="0.2">
      <c r="A402" s="18"/>
      <c r="B402" s="18"/>
      <c r="C402" s="18"/>
      <c r="D402" s="18" t="s">
        <v>465</v>
      </c>
      <c r="E402" s="19" t="s">
        <v>466</v>
      </c>
      <c r="F402" s="9">
        <f>Source!AT324</f>
        <v>70</v>
      </c>
      <c r="G402" s="21"/>
      <c r="H402" s="20"/>
      <c r="I402" s="9"/>
      <c r="J402" s="9"/>
      <c r="K402" s="21">
        <f>SUM(R398:R401)</f>
        <v>1473.33</v>
      </c>
      <c r="L402" s="21"/>
    </row>
    <row r="403" spans="1:22" ht="14.25" x14ac:dyDescent="0.2">
      <c r="A403" s="18"/>
      <c r="B403" s="18"/>
      <c r="C403" s="18"/>
      <c r="D403" s="18" t="s">
        <v>467</v>
      </c>
      <c r="E403" s="19" t="s">
        <v>466</v>
      </c>
      <c r="F403" s="9">
        <f>Source!AU324</f>
        <v>10</v>
      </c>
      <c r="G403" s="21"/>
      <c r="H403" s="20"/>
      <c r="I403" s="9"/>
      <c r="J403" s="9"/>
      <c r="K403" s="21">
        <f>SUM(T398:T402)</f>
        <v>210.48</v>
      </c>
      <c r="L403" s="21"/>
    </row>
    <row r="404" spans="1:22" ht="14.25" x14ac:dyDescent="0.2">
      <c r="A404" s="18"/>
      <c r="B404" s="18"/>
      <c r="C404" s="18"/>
      <c r="D404" s="18" t="s">
        <v>469</v>
      </c>
      <c r="E404" s="19" t="s">
        <v>470</v>
      </c>
      <c r="F404" s="9">
        <f>Source!AQ324</f>
        <v>0.3</v>
      </c>
      <c r="G404" s="21"/>
      <c r="H404" s="20" t="str">
        <f>Source!DI324</f>
        <v>)*1,04</v>
      </c>
      <c r="I404" s="9">
        <f>Source!AV324</f>
        <v>1</v>
      </c>
      <c r="J404" s="9"/>
      <c r="K404" s="21"/>
      <c r="L404" s="21">
        <f>Source!U324</f>
        <v>3.7439999999999998</v>
      </c>
    </row>
    <row r="405" spans="1:22" ht="15" x14ac:dyDescent="0.25">
      <c r="A405" s="26"/>
      <c r="B405" s="26"/>
      <c r="C405" s="26"/>
      <c r="D405" s="26"/>
      <c r="E405" s="26"/>
      <c r="F405" s="26"/>
      <c r="G405" s="26"/>
      <c r="H405" s="26"/>
      <c r="I405" s="26"/>
      <c r="J405" s="53">
        <f>K400+K401+K402+K403</f>
        <v>3796.12</v>
      </c>
      <c r="K405" s="53"/>
      <c r="L405" s="27">
        <f>IF(Source!I324&lt;&gt;0, ROUND(J405/Source!I324, 2), 0)</f>
        <v>316.33999999999997</v>
      </c>
      <c r="P405" s="24">
        <f>J405</f>
        <v>3796.12</v>
      </c>
    </row>
    <row r="406" spans="1:22" ht="108" x14ac:dyDescent="0.2">
      <c r="A406" s="18">
        <v>39</v>
      </c>
      <c r="B406" s="18">
        <v>39</v>
      </c>
      <c r="C406" s="18" t="s">
        <v>475</v>
      </c>
      <c r="D406" s="18" t="s">
        <v>476</v>
      </c>
      <c r="E406" s="19" t="str">
        <f>Source!H325</f>
        <v>шт.</v>
      </c>
      <c r="F406" s="9">
        <f>Source!I325</f>
        <v>20</v>
      </c>
      <c r="G406" s="21"/>
      <c r="H406" s="20"/>
      <c r="I406" s="9"/>
      <c r="J406" s="9"/>
      <c r="K406" s="21"/>
      <c r="L406" s="21"/>
      <c r="Q406">
        <f>ROUND((Source!BZ325/100)*ROUND((Source!AF325*Source!AV325)*Source!I325, 2), 2)</f>
        <v>3274.11</v>
      </c>
      <c r="R406">
        <f>Source!X325</f>
        <v>3274.11</v>
      </c>
      <c r="S406">
        <f>ROUND((Source!CA325/100)*ROUND((Source!AF325*Source!AV325)*Source!I325, 2), 2)</f>
        <v>467.73</v>
      </c>
      <c r="T406">
        <f>Source!Y325</f>
        <v>467.73</v>
      </c>
      <c r="U406">
        <f>ROUND((175/100)*ROUND((Source!AE325*Source!AV325)*Source!I325, 2), 2)</f>
        <v>0</v>
      </c>
      <c r="V406">
        <f>ROUND((108/100)*ROUND(Source!CS325*Source!I325, 2), 2)</f>
        <v>0</v>
      </c>
    </row>
    <row r="407" spans="1:22" x14ac:dyDescent="0.2">
      <c r="D407" s="22" t="str">
        <f>"Объем: "&amp;Source!I325&amp;"=5*"&amp;"4"</f>
        <v>Объем: 20=5*4</v>
      </c>
    </row>
    <row r="408" spans="1:22" ht="14.25" x14ac:dyDescent="0.2">
      <c r="A408" s="18"/>
      <c r="B408" s="18"/>
      <c r="C408" s="18"/>
      <c r="D408" s="18" t="s">
        <v>461</v>
      </c>
      <c r="E408" s="19"/>
      <c r="F408" s="9"/>
      <c r="G408" s="21">
        <f>Source!AO325</f>
        <v>224.87</v>
      </c>
      <c r="H408" s="20" t="str">
        <f>Source!DG325</f>
        <v>)*1,04</v>
      </c>
      <c r="I408" s="9">
        <f>Source!AV325</f>
        <v>1</v>
      </c>
      <c r="J408" s="9">
        <f>IF(Source!BA325&lt;&gt; 0, Source!BA325, 1)</f>
        <v>1</v>
      </c>
      <c r="K408" s="21">
        <f>Source!S325</f>
        <v>4677.3</v>
      </c>
      <c r="L408" s="21"/>
    </row>
    <row r="409" spans="1:22" ht="14.25" x14ac:dyDescent="0.2">
      <c r="A409" s="18"/>
      <c r="B409" s="18"/>
      <c r="C409" s="18"/>
      <c r="D409" s="18" t="s">
        <v>464</v>
      </c>
      <c r="E409" s="19"/>
      <c r="F409" s="9"/>
      <c r="G409" s="21">
        <f>Source!AL325</f>
        <v>1.26</v>
      </c>
      <c r="H409" s="20" t="str">
        <f>Source!DD325</f>
        <v/>
      </c>
      <c r="I409" s="9">
        <f>Source!AW325</f>
        <v>1</v>
      </c>
      <c r="J409" s="9">
        <f>IF(Source!BC325&lt;&gt; 0, Source!BC325, 1)</f>
        <v>1</v>
      </c>
      <c r="K409" s="21">
        <f>Source!P325</f>
        <v>25.2</v>
      </c>
      <c r="L409" s="21"/>
    </row>
    <row r="410" spans="1:22" ht="14.25" x14ac:dyDescent="0.2">
      <c r="A410" s="18"/>
      <c r="B410" s="18"/>
      <c r="C410" s="18"/>
      <c r="D410" s="18" t="s">
        <v>465</v>
      </c>
      <c r="E410" s="19" t="s">
        <v>466</v>
      </c>
      <c r="F410" s="9">
        <f>Source!AT325</f>
        <v>70</v>
      </c>
      <c r="G410" s="21"/>
      <c r="H410" s="20"/>
      <c r="I410" s="9"/>
      <c r="J410" s="9"/>
      <c r="K410" s="21">
        <f>SUM(R406:R409)</f>
        <v>3274.11</v>
      </c>
      <c r="L410" s="21"/>
    </row>
    <row r="411" spans="1:22" ht="14.25" x14ac:dyDescent="0.2">
      <c r="A411" s="18"/>
      <c r="B411" s="18"/>
      <c r="C411" s="18"/>
      <c r="D411" s="18" t="s">
        <v>467</v>
      </c>
      <c r="E411" s="19" t="s">
        <v>466</v>
      </c>
      <c r="F411" s="9">
        <f>Source!AU325</f>
        <v>10</v>
      </c>
      <c r="G411" s="21"/>
      <c r="H411" s="20"/>
      <c r="I411" s="9"/>
      <c r="J411" s="9"/>
      <c r="K411" s="21">
        <f>SUM(T406:T410)</f>
        <v>467.73</v>
      </c>
      <c r="L411" s="21"/>
    </row>
    <row r="412" spans="1:22" ht="14.25" x14ac:dyDescent="0.2">
      <c r="A412" s="18"/>
      <c r="B412" s="18"/>
      <c r="C412" s="18"/>
      <c r="D412" s="18" t="s">
        <v>469</v>
      </c>
      <c r="E412" s="19" t="s">
        <v>470</v>
      </c>
      <c r="F412" s="9">
        <f>Source!AQ325</f>
        <v>0.4</v>
      </c>
      <c r="G412" s="21"/>
      <c r="H412" s="20" t="str">
        <f>Source!DI325</f>
        <v>)*1,04</v>
      </c>
      <c r="I412" s="9">
        <f>Source!AV325</f>
        <v>1</v>
      </c>
      <c r="J412" s="9"/>
      <c r="K412" s="21"/>
      <c r="L412" s="21">
        <f>Source!U325</f>
        <v>8.32</v>
      </c>
    </row>
    <row r="413" spans="1:22" ht="15" x14ac:dyDescent="0.25">
      <c r="A413" s="26"/>
      <c r="B413" s="26"/>
      <c r="C413" s="26"/>
      <c r="D413" s="26"/>
      <c r="E413" s="26"/>
      <c r="F413" s="26"/>
      <c r="G413" s="26"/>
      <c r="H413" s="26"/>
      <c r="I413" s="26"/>
      <c r="J413" s="53">
        <f>K408+K409+K410+K411</f>
        <v>8444.34</v>
      </c>
      <c r="K413" s="53"/>
      <c r="L413" s="27">
        <f>IF(Source!I325&lt;&gt;0, ROUND(J413/Source!I325, 2), 0)</f>
        <v>422.22</v>
      </c>
      <c r="P413" s="24">
        <f>J413</f>
        <v>8444.34</v>
      </c>
    </row>
    <row r="414" spans="1:22" ht="71.25" x14ac:dyDescent="0.2">
      <c r="A414" s="18">
        <v>40</v>
      </c>
      <c r="B414" s="18">
        <v>40</v>
      </c>
      <c r="C414" s="18" t="str">
        <f>Source!F326</f>
        <v>1.20-2103-20-1/1</v>
      </c>
      <c r="D414" s="18" t="str">
        <f>Source!G326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414" s="19" t="str">
        <f>Source!H326</f>
        <v>шт.</v>
      </c>
      <c r="F414" s="9">
        <f>Source!I326</f>
        <v>12</v>
      </c>
      <c r="G414" s="21"/>
      <c r="H414" s="20"/>
      <c r="I414" s="9"/>
      <c r="J414" s="9"/>
      <c r="K414" s="21"/>
      <c r="L414" s="21"/>
      <c r="Q414">
        <f>ROUND((Source!BZ326/100)*ROUND((Source!AF326*Source!AV326)*Source!I326, 2), 2)</f>
        <v>4910.9799999999996</v>
      </c>
      <c r="R414">
        <f>Source!X326</f>
        <v>4910.9799999999996</v>
      </c>
      <c r="S414">
        <f>ROUND((Source!CA326/100)*ROUND((Source!AF326*Source!AV326)*Source!I326, 2), 2)</f>
        <v>701.57</v>
      </c>
      <c r="T414">
        <f>Source!Y326</f>
        <v>701.57</v>
      </c>
      <c r="U414">
        <f>ROUND((175/100)*ROUND((Source!AE326*Source!AV326)*Source!I326, 2), 2)</f>
        <v>0</v>
      </c>
      <c r="V414">
        <f>ROUND((108/100)*ROUND(Source!CS326*Source!I326, 2), 2)</f>
        <v>0</v>
      </c>
    </row>
    <row r="415" spans="1:22" x14ac:dyDescent="0.2">
      <c r="D415" s="22" t="str">
        <f>"Объем: "&amp;Source!I326&amp;"=3*"&amp;"4"</f>
        <v>Объем: 12=3*4</v>
      </c>
    </row>
    <row r="416" spans="1:22" ht="14.25" x14ac:dyDescent="0.2">
      <c r="A416" s="18"/>
      <c r="B416" s="18"/>
      <c r="C416" s="18"/>
      <c r="D416" s="18" t="s">
        <v>461</v>
      </c>
      <c r="E416" s="19"/>
      <c r="F416" s="9"/>
      <c r="G416" s="21">
        <f>Source!AO326</f>
        <v>146.16</v>
      </c>
      <c r="H416" s="20" t="str">
        <f>Source!DG326</f>
        <v>)*4</v>
      </c>
      <c r="I416" s="9">
        <f>Source!AV326</f>
        <v>1</v>
      </c>
      <c r="J416" s="9">
        <f>IF(Source!BA326&lt;&gt; 0, Source!BA326, 1)</f>
        <v>1</v>
      </c>
      <c r="K416" s="21">
        <f>Source!S326</f>
        <v>7015.68</v>
      </c>
      <c r="L416" s="21"/>
    </row>
    <row r="417" spans="1:22" ht="14.25" x14ac:dyDescent="0.2">
      <c r="A417" s="18"/>
      <c r="B417" s="18"/>
      <c r="C417" s="18"/>
      <c r="D417" s="18" t="s">
        <v>464</v>
      </c>
      <c r="E417" s="19"/>
      <c r="F417" s="9"/>
      <c r="G417" s="21">
        <f>Source!AL326</f>
        <v>1.26</v>
      </c>
      <c r="H417" s="20" t="str">
        <f>Source!DD326</f>
        <v>)*4</v>
      </c>
      <c r="I417" s="9">
        <f>Source!AW326</f>
        <v>1</v>
      </c>
      <c r="J417" s="9">
        <f>IF(Source!BC326&lt;&gt; 0, Source!BC326, 1)</f>
        <v>1</v>
      </c>
      <c r="K417" s="21">
        <f>Source!P326</f>
        <v>60.48</v>
      </c>
      <c r="L417" s="21"/>
    </row>
    <row r="418" spans="1:22" ht="14.25" x14ac:dyDescent="0.2">
      <c r="A418" s="18"/>
      <c r="B418" s="18"/>
      <c r="C418" s="18"/>
      <c r="D418" s="18" t="s">
        <v>465</v>
      </c>
      <c r="E418" s="19" t="s">
        <v>466</v>
      </c>
      <c r="F418" s="9">
        <f>Source!AT326</f>
        <v>70</v>
      </c>
      <c r="G418" s="21"/>
      <c r="H418" s="20"/>
      <c r="I418" s="9"/>
      <c r="J418" s="9"/>
      <c r="K418" s="21">
        <f>SUM(R414:R417)</f>
        <v>4910.9799999999996</v>
      </c>
      <c r="L418" s="21"/>
    </row>
    <row r="419" spans="1:22" ht="14.25" x14ac:dyDescent="0.2">
      <c r="A419" s="18"/>
      <c r="B419" s="18"/>
      <c r="C419" s="18"/>
      <c r="D419" s="18" t="s">
        <v>467</v>
      </c>
      <c r="E419" s="19" t="s">
        <v>466</v>
      </c>
      <c r="F419" s="9">
        <f>Source!AU326</f>
        <v>10</v>
      </c>
      <c r="G419" s="21"/>
      <c r="H419" s="20"/>
      <c r="I419" s="9"/>
      <c r="J419" s="9"/>
      <c r="K419" s="21">
        <f>SUM(T414:T418)</f>
        <v>701.57</v>
      </c>
      <c r="L419" s="21"/>
    </row>
    <row r="420" spans="1:22" ht="14.25" x14ac:dyDescent="0.2">
      <c r="A420" s="18"/>
      <c r="B420" s="18"/>
      <c r="C420" s="18"/>
      <c r="D420" s="18" t="s">
        <v>469</v>
      </c>
      <c r="E420" s="19" t="s">
        <v>470</v>
      </c>
      <c r="F420" s="9">
        <f>Source!AQ326</f>
        <v>0.26</v>
      </c>
      <c r="G420" s="21"/>
      <c r="H420" s="20" t="str">
        <f>Source!DI326</f>
        <v>)*4</v>
      </c>
      <c r="I420" s="9">
        <f>Source!AV326</f>
        <v>1</v>
      </c>
      <c r="J420" s="9"/>
      <c r="K420" s="21"/>
      <c r="L420" s="21">
        <f>Source!U326</f>
        <v>12.48</v>
      </c>
    </row>
    <row r="421" spans="1:22" ht="15" x14ac:dyDescent="0.25">
      <c r="A421" s="26"/>
      <c r="B421" s="26"/>
      <c r="C421" s="26"/>
      <c r="D421" s="26"/>
      <c r="E421" s="26"/>
      <c r="F421" s="26"/>
      <c r="G421" s="26"/>
      <c r="H421" s="26"/>
      <c r="I421" s="26"/>
      <c r="J421" s="53">
        <f>K416+K417+K418+K419</f>
        <v>12688.71</v>
      </c>
      <c r="K421" s="53"/>
      <c r="L421" s="27">
        <f>IF(Source!I326&lt;&gt;0, ROUND(J421/Source!I326, 2), 0)</f>
        <v>1057.3900000000001</v>
      </c>
      <c r="P421" s="24">
        <f>J421</f>
        <v>12688.71</v>
      </c>
    </row>
    <row r="422" spans="1:22" ht="28.5" x14ac:dyDescent="0.2">
      <c r="A422" s="18">
        <v>41</v>
      </c>
      <c r="B422" s="18">
        <v>41</v>
      </c>
      <c r="C422" s="18" t="str">
        <f>Source!F327</f>
        <v>1.18-2303-3-1/1</v>
      </c>
      <c r="D422" s="18" t="str">
        <f>Source!G327</f>
        <v>Техническое обслуживание канального вентилятора - ежемесячное</v>
      </c>
      <c r="E422" s="19" t="str">
        <f>Source!H327</f>
        <v>шт.</v>
      </c>
      <c r="F422" s="9">
        <f>Source!I327</f>
        <v>8</v>
      </c>
      <c r="G422" s="21"/>
      <c r="H422" s="20"/>
      <c r="I422" s="9"/>
      <c r="J422" s="9"/>
      <c r="K422" s="21"/>
      <c r="L422" s="21"/>
      <c r="Q422">
        <f>ROUND((Source!BZ327/100)*ROUND((Source!AF327*Source!AV327)*Source!I327, 2), 2)</f>
        <v>6812.29</v>
      </c>
      <c r="R422">
        <f>Source!X327</f>
        <v>6812.29</v>
      </c>
      <c r="S422">
        <f>ROUND((Source!CA327/100)*ROUND((Source!AF327*Source!AV327)*Source!I327, 2), 2)</f>
        <v>973.18</v>
      </c>
      <c r="T422">
        <f>Source!Y327</f>
        <v>973.18</v>
      </c>
      <c r="U422">
        <f>ROUND((175/100)*ROUND((Source!AE327*Source!AV327)*Source!I327, 2), 2)</f>
        <v>0</v>
      </c>
      <c r="V422">
        <f>ROUND((108/100)*ROUND(Source!CS327*Source!I327, 2), 2)</f>
        <v>0</v>
      </c>
    </row>
    <row r="423" spans="1:22" x14ac:dyDescent="0.2">
      <c r="D423" s="22" t="str">
        <f>"Объем: "&amp;Source!I327&amp;"=2*"&amp;"4"</f>
        <v>Объем: 8=2*4</v>
      </c>
    </row>
    <row r="424" spans="1:22" ht="14.25" x14ac:dyDescent="0.2">
      <c r="A424" s="18"/>
      <c r="B424" s="18"/>
      <c r="C424" s="18"/>
      <c r="D424" s="18" t="s">
        <v>461</v>
      </c>
      <c r="E424" s="19"/>
      <c r="F424" s="9"/>
      <c r="G424" s="21">
        <f>Source!AO327</f>
        <v>304.12</v>
      </c>
      <c r="H424" s="20" t="str">
        <f>Source!DG327</f>
        <v>)*4</v>
      </c>
      <c r="I424" s="9">
        <f>Source!AV327</f>
        <v>1</v>
      </c>
      <c r="J424" s="9">
        <f>IF(Source!BA327&lt;&gt; 0, Source!BA327, 1)</f>
        <v>1</v>
      </c>
      <c r="K424" s="21">
        <f>Source!S327</f>
        <v>9731.84</v>
      </c>
      <c r="L424" s="21"/>
    </row>
    <row r="425" spans="1:22" ht="14.25" x14ac:dyDescent="0.2">
      <c r="A425" s="18"/>
      <c r="B425" s="18"/>
      <c r="C425" s="18"/>
      <c r="D425" s="18" t="s">
        <v>465</v>
      </c>
      <c r="E425" s="19" t="s">
        <v>466</v>
      </c>
      <c r="F425" s="9">
        <f>Source!AT327</f>
        <v>70</v>
      </c>
      <c r="G425" s="21"/>
      <c r="H425" s="20"/>
      <c r="I425" s="9"/>
      <c r="J425" s="9"/>
      <c r="K425" s="21">
        <f>SUM(R422:R424)</f>
        <v>6812.29</v>
      </c>
      <c r="L425" s="21"/>
    </row>
    <row r="426" spans="1:22" ht="14.25" x14ac:dyDescent="0.2">
      <c r="A426" s="18"/>
      <c r="B426" s="18"/>
      <c r="C426" s="18"/>
      <c r="D426" s="18" t="s">
        <v>467</v>
      </c>
      <c r="E426" s="19" t="s">
        <v>466</v>
      </c>
      <c r="F426" s="9">
        <f>Source!AU327</f>
        <v>10</v>
      </c>
      <c r="G426" s="21"/>
      <c r="H426" s="20"/>
      <c r="I426" s="9"/>
      <c r="J426" s="9"/>
      <c r="K426" s="21">
        <f>SUM(T422:T425)</f>
        <v>973.18</v>
      </c>
      <c r="L426" s="21"/>
    </row>
    <row r="427" spans="1:22" ht="14.25" x14ac:dyDescent="0.2">
      <c r="A427" s="18"/>
      <c r="B427" s="18"/>
      <c r="C427" s="18"/>
      <c r="D427" s="18" t="s">
        <v>469</v>
      </c>
      <c r="E427" s="19" t="s">
        <v>470</v>
      </c>
      <c r="F427" s="9">
        <f>Source!AQ327</f>
        <v>0.5</v>
      </c>
      <c r="G427" s="21"/>
      <c r="H427" s="20" t="str">
        <f>Source!DI327</f>
        <v>)*4</v>
      </c>
      <c r="I427" s="9">
        <f>Source!AV327</f>
        <v>1</v>
      </c>
      <c r="J427" s="9"/>
      <c r="K427" s="21"/>
      <c r="L427" s="21">
        <f>Source!U327</f>
        <v>16</v>
      </c>
    </row>
    <row r="428" spans="1:22" ht="15" x14ac:dyDescent="0.25">
      <c r="A428" s="26"/>
      <c r="B428" s="26"/>
      <c r="C428" s="26"/>
      <c r="D428" s="26"/>
      <c r="E428" s="26"/>
      <c r="F428" s="26"/>
      <c r="G428" s="26"/>
      <c r="H428" s="26"/>
      <c r="I428" s="26"/>
      <c r="J428" s="53">
        <f>K424+K425+K426</f>
        <v>17517.310000000001</v>
      </c>
      <c r="K428" s="53"/>
      <c r="L428" s="27">
        <f>IF(Source!I327&lt;&gt;0, ROUND(J428/Source!I327, 2), 0)</f>
        <v>2189.66</v>
      </c>
      <c r="P428" s="24">
        <f>J428</f>
        <v>17517.310000000001</v>
      </c>
    </row>
    <row r="429" spans="1:22" ht="28.5" x14ac:dyDescent="0.2">
      <c r="A429" s="18">
        <v>42</v>
      </c>
      <c r="B429" s="18">
        <v>42</v>
      </c>
      <c r="C429" s="18" t="str">
        <f>Source!F330</f>
        <v>1.23-2103-6-1/1</v>
      </c>
      <c r="D429" s="18" t="str">
        <f>Source!G330</f>
        <v>Техническое обслуживание выключателей поплавковых</v>
      </c>
      <c r="E429" s="19" t="str">
        <f>Source!H330</f>
        <v>100 шт.</v>
      </c>
      <c r="F429" s="9">
        <f>Source!I330</f>
        <v>0.04</v>
      </c>
      <c r="G429" s="21"/>
      <c r="H429" s="20"/>
      <c r="I429" s="9"/>
      <c r="J429" s="9"/>
      <c r="K429" s="21"/>
      <c r="L429" s="21"/>
      <c r="Q429">
        <f>ROUND((Source!BZ330/100)*ROUND((Source!AF330*Source!AV330)*Source!I330, 2), 2)</f>
        <v>359.73</v>
      </c>
      <c r="R429">
        <f>Source!X330</f>
        <v>359.73</v>
      </c>
      <c r="S429">
        <f>ROUND((Source!CA330/100)*ROUND((Source!AF330*Source!AV330)*Source!I330, 2), 2)</f>
        <v>51.39</v>
      </c>
      <c r="T429">
        <f>Source!Y330</f>
        <v>51.39</v>
      </c>
      <c r="U429">
        <f>ROUND((175/100)*ROUND((Source!AE330*Source!AV330)*Source!I330, 2), 2)</f>
        <v>161.93</v>
      </c>
      <c r="V429">
        <f>ROUND((108/100)*ROUND(Source!CS330*Source!I330, 2), 2)</f>
        <v>99.93</v>
      </c>
    </row>
    <row r="430" spans="1:22" x14ac:dyDescent="0.2">
      <c r="D430" s="22" t="str">
        <f>"Объем: "&amp;Source!I330&amp;"=(1*"&amp;"4)/"&amp;"100"</f>
        <v>Объем: 0,04=(1*4)/100</v>
      </c>
    </row>
    <row r="431" spans="1:22" ht="14.25" x14ac:dyDescent="0.2">
      <c r="A431" s="18"/>
      <c r="B431" s="18"/>
      <c r="C431" s="18"/>
      <c r="D431" s="18" t="s">
        <v>461</v>
      </c>
      <c r="E431" s="19"/>
      <c r="F431" s="9"/>
      <c r="G431" s="21">
        <f>Source!AO330</f>
        <v>3211.89</v>
      </c>
      <c r="H431" s="20" t="str">
        <f>Source!DG330</f>
        <v>)*4</v>
      </c>
      <c r="I431" s="9">
        <f>Source!AV330</f>
        <v>1</v>
      </c>
      <c r="J431" s="9">
        <f>IF(Source!BA330&lt;&gt; 0, Source!BA330, 1)</f>
        <v>1</v>
      </c>
      <c r="K431" s="21">
        <f>Source!S330</f>
        <v>513.9</v>
      </c>
      <c r="L431" s="21"/>
    </row>
    <row r="432" spans="1:22" ht="14.25" x14ac:dyDescent="0.2">
      <c r="A432" s="18"/>
      <c r="B432" s="18"/>
      <c r="C432" s="18"/>
      <c r="D432" s="18" t="s">
        <v>462</v>
      </c>
      <c r="E432" s="19"/>
      <c r="F432" s="9"/>
      <c r="G432" s="21">
        <f>Source!AM330</f>
        <v>912.11</v>
      </c>
      <c r="H432" s="20" t="str">
        <f>Source!DE330</f>
        <v>)*4</v>
      </c>
      <c r="I432" s="9">
        <f>Source!AV330</f>
        <v>1</v>
      </c>
      <c r="J432" s="9">
        <f>IF(Source!BB330&lt;&gt; 0, Source!BB330, 1)</f>
        <v>1</v>
      </c>
      <c r="K432" s="21">
        <f>Source!Q330</f>
        <v>145.94</v>
      </c>
      <c r="L432" s="21"/>
    </row>
    <row r="433" spans="1:22" ht="14.25" x14ac:dyDescent="0.2">
      <c r="A433" s="18"/>
      <c r="B433" s="18"/>
      <c r="C433" s="18"/>
      <c r="D433" s="18" t="s">
        <v>463</v>
      </c>
      <c r="E433" s="19"/>
      <c r="F433" s="9"/>
      <c r="G433" s="21">
        <f>Source!AN330</f>
        <v>578.34</v>
      </c>
      <c r="H433" s="20" t="str">
        <f>Source!DF330</f>
        <v>)*4</v>
      </c>
      <c r="I433" s="9">
        <f>Source!AV330</f>
        <v>1</v>
      </c>
      <c r="J433" s="9">
        <f>IF(Source!BS330&lt;&gt; 0, Source!BS330, 1)</f>
        <v>1</v>
      </c>
      <c r="K433" s="23">
        <f>Source!R330</f>
        <v>92.53</v>
      </c>
      <c r="L433" s="21"/>
    </row>
    <row r="434" spans="1:22" ht="14.25" x14ac:dyDescent="0.2">
      <c r="A434" s="18"/>
      <c r="B434" s="18"/>
      <c r="C434" s="18"/>
      <c r="D434" s="18" t="s">
        <v>464</v>
      </c>
      <c r="E434" s="19"/>
      <c r="F434" s="9"/>
      <c r="G434" s="21">
        <f>Source!AL330</f>
        <v>0.94</v>
      </c>
      <c r="H434" s="20" t="str">
        <f>Source!DD330</f>
        <v>)*4</v>
      </c>
      <c r="I434" s="9">
        <f>Source!AW330</f>
        <v>1</v>
      </c>
      <c r="J434" s="9">
        <f>IF(Source!BC330&lt;&gt; 0, Source!BC330, 1)</f>
        <v>1</v>
      </c>
      <c r="K434" s="21">
        <f>Source!P330</f>
        <v>0.15</v>
      </c>
      <c r="L434" s="21"/>
    </row>
    <row r="435" spans="1:22" ht="14.25" x14ac:dyDescent="0.2">
      <c r="A435" s="18"/>
      <c r="B435" s="18"/>
      <c r="C435" s="18"/>
      <c r="D435" s="18" t="s">
        <v>465</v>
      </c>
      <c r="E435" s="19" t="s">
        <v>466</v>
      </c>
      <c r="F435" s="9">
        <f>Source!AT330</f>
        <v>70</v>
      </c>
      <c r="G435" s="21"/>
      <c r="H435" s="20"/>
      <c r="I435" s="9"/>
      <c r="J435" s="9"/>
      <c r="K435" s="21">
        <f>SUM(R429:R434)</f>
        <v>359.73</v>
      </c>
      <c r="L435" s="21"/>
    </row>
    <row r="436" spans="1:22" ht="14.25" x14ac:dyDescent="0.2">
      <c r="A436" s="18"/>
      <c r="B436" s="18"/>
      <c r="C436" s="18"/>
      <c r="D436" s="18" t="s">
        <v>467</v>
      </c>
      <c r="E436" s="19" t="s">
        <v>466</v>
      </c>
      <c r="F436" s="9">
        <f>Source!AU330</f>
        <v>10</v>
      </c>
      <c r="G436" s="21"/>
      <c r="H436" s="20"/>
      <c r="I436" s="9"/>
      <c r="J436" s="9"/>
      <c r="K436" s="21">
        <f>SUM(T429:T435)</f>
        <v>51.39</v>
      </c>
      <c r="L436" s="21"/>
    </row>
    <row r="437" spans="1:22" ht="14.25" x14ac:dyDescent="0.2">
      <c r="A437" s="18"/>
      <c r="B437" s="18"/>
      <c r="C437" s="18"/>
      <c r="D437" s="18" t="s">
        <v>468</v>
      </c>
      <c r="E437" s="19" t="s">
        <v>466</v>
      </c>
      <c r="F437" s="9">
        <f>108</f>
        <v>108</v>
      </c>
      <c r="G437" s="21"/>
      <c r="H437" s="20"/>
      <c r="I437" s="9"/>
      <c r="J437" s="9"/>
      <c r="K437" s="21">
        <f>SUM(V429:V436)</f>
        <v>99.93</v>
      </c>
      <c r="L437" s="21"/>
    </row>
    <row r="438" spans="1:22" ht="14.25" x14ac:dyDescent="0.2">
      <c r="A438" s="18"/>
      <c r="B438" s="18"/>
      <c r="C438" s="18"/>
      <c r="D438" s="18" t="s">
        <v>469</v>
      </c>
      <c r="E438" s="19" t="s">
        <v>470</v>
      </c>
      <c r="F438" s="9">
        <f>Source!AQ330</f>
        <v>6</v>
      </c>
      <c r="G438" s="21"/>
      <c r="H438" s="20" t="str">
        <f>Source!DI330</f>
        <v>)*4</v>
      </c>
      <c r="I438" s="9">
        <f>Source!AV330</f>
        <v>1</v>
      </c>
      <c r="J438" s="9"/>
      <c r="K438" s="21"/>
      <c r="L438" s="21">
        <f>Source!U330</f>
        <v>0.96</v>
      </c>
    </row>
    <row r="439" spans="1:22" ht="15" x14ac:dyDescent="0.25">
      <c r="A439" s="26"/>
      <c r="B439" s="26"/>
      <c r="C439" s="26"/>
      <c r="D439" s="26"/>
      <c r="E439" s="26"/>
      <c r="F439" s="26"/>
      <c r="G439" s="26"/>
      <c r="H439" s="26"/>
      <c r="I439" s="26"/>
      <c r="J439" s="53">
        <f>K431+K432+K434+K435+K436+K437</f>
        <v>1171.04</v>
      </c>
      <c r="K439" s="53"/>
      <c r="L439" s="27">
        <f>IF(Source!I330&lt;&gt;0, ROUND(J439/Source!I330, 2), 0)</f>
        <v>29276</v>
      </c>
      <c r="P439" s="24">
        <f>J439</f>
        <v>1171.04</v>
      </c>
    </row>
    <row r="440" spans="1:22" ht="71.25" x14ac:dyDescent="0.2">
      <c r="A440" s="18">
        <v>43</v>
      </c>
      <c r="B440" s="18">
        <v>43</v>
      </c>
      <c r="C440" s="18" t="str">
        <f>Source!F332</f>
        <v>1.21-2303-37-1/1</v>
      </c>
      <c r="D440" s="18" t="str">
        <f>Source!G332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440" s="19" t="str">
        <f>Source!H332</f>
        <v>10 шт.</v>
      </c>
      <c r="F440" s="9">
        <f>Source!I332</f>
        <v>1.6</v>
      </c>
      <c r="G440" s="21"/>
      <c r="H440" s="20"/>
      <c r="I440" s="9"/>
      <c r="J440" s="9"/>
      <c r="K440" s="21"/>
      <c r="L440" s="21"/>
      <c r="Q440">
        <f>ROUND((Source!BZ332/100)*ROUND((Source!AF332*Source!AV332)*Source!I332, 2), 2)</f>
        <v>124.49</v>
      </c>
      <c r="R440">
        <f>Source!X332</f>
        <v>124.49</v>
      </c>
      <c r="S440">
        <f>ROUND((Source!CA332/100)*ROUND((Source!AF332*Source!AV332)*Source!I332, 2), 2)</f>
        <v>17.78</v>
      </c>
      <c r="T440">
        <f>Source!Y332</f>
        <v>17.78</v>
      </c>
      <c r="U440">
        <f>ROUND((175/100)*ROUND((Source!AE332*Source!AV332)*Source!I332, 2), 2)</f>
        <v>0</v>
      </c>
      <c r="V440">
        <f>ROUND((108/100)*ROUND(Source!CS332*Source!I332, 2), 2)</f>
        <v>0</v>
      </c>
    </row>
    <row r="441" spans="1:22" x14ac:dyDescent="0.2">
      <c r="D441" s="22" t="str">
        <f>"Объем: "&amp;Source!I332&amp;"=(4*"&amp;"4)/"&amp;"10"</f>
        <v>Объем: 1,6=(4*4)/10</v>
      </c>
    </row>
    <row r="442" spans="1:22" ht="14.25" x14ac:dyDescent="0.2">
      <c r="A442" s="18"/>
      <c r="B442" s="18"/>
      <c r="C442" s="18"/>
      <c r="D442" s="18" t="s">
        <v>461</v>
      </c>
      <c r="E442" s="19"/>
      <c r="F442" s="9"/>
      <c r="G442" s="21">
        <f>Source!AO332</f>
        <v>111.15</v>
      </c>
      <c r="H442" s="20" t="str">
        <f>Source!DG332</f>
        <v/>
      </c>
      <c r="I442" s="9">
        <f>Source!AV332</f>
        <v>1</v>
      </c>
      <c r="J442" s="9">
        <f>IF(Source!BA332&lt;&gt; 0, Source!BA332, 1)</f>
        <v>1</v>
      </c>
      <c r="K442" s="21">
        <f>Source!S332</f>
        <v>177.84</v>
      </c>
      <c r="L442" s="21"/>
    </row>
    <row r="443" spans="1:22" ht="14.25" x14ac:dyDescent="0.2">
      <c r="A443" s="18"/>
      <c r="B443" s="18"/>
      <c r="C443" s="18"/>
      <c r="D443" s="18" t="s">
        <v>464</v>
      </c>
      <c r="E443" s="19"/>
      <c r="F443" s="9"/>
      <c r="G443" s="21">
        <f>Source!AL332</f>
        <v>6.3</v>
      </c>
      <c r="H443" s="20" t="str">
        <f>Source!DD332</f>
        <v/>
      </c>
      <c r="I443" s="9">
        <f>Source!AW332</f>
        <v>1</v>
      </c>
      <c r="J443" s="9">
        <f>IF(Source!BC332&lt;&gt; 0, Source!BC332, 1)</f>
        <v>1</v>
      </c>
      <c r="K443" s="21">
        <f>Source!P332</f>
        <v>10.08</v>
      </c>
      <c r="L443" s="21"/>
    </row>
    <row r="444" spans="1:22" ht="14.25" x14ac:dyDescent="0.2">
      <c r="A444" s="18"/>
      <c r="B444" s="18"/>
      <c r="C444" s="18"/>
      <c r="D444" s="18" t="s">
        <v>465</v>
      </c>
      <c r="E444" s="19" t="s">
        <v>466</v>
      </c>
      <c r="F444" s="9">
        <f>Source!AT332</f>
        <v>70</v>
      </c>
      <c r="G444" s="21"/>
      <c r="H444" s="20"/>
      <c r="I444" s="9"/>
      <c r="J444" s="9"/>
      <c r="K444" s="21">
        <f>SUM(R440:R443)</f>
        <v>124.49</v>
      </c>
      <c r="L444" s="21"/>
    </row>
    <row r="445" spans="1:22" ht="14.25" x14ac:dyDescent="0.2">
      <c r="A445" s="18"/>
      <c r="B445" s="18"/>
      <c r="C445" s="18"/>
      <c r="D445" s="18" t="s">
        <v>467</v>
      </c>
      <c r="E445" s="19" t="s">
        <v>466</v>
      </c>
      <c r="F445" s="9">
        <f>Source!AU332</f>
        <v>10</v>
      </c>
      <c r="G445" s="21"/>
      <c r="H445" s="20"/>
      <c r="I445" s="9"/>
      <c r="J445" s="9"/>
      <c r="K445" s="21">
        <f>SUM(T440:T444)</f>
        <v>17.78</v>
      </c>
      <c r="L445" s="21"/>
    </row>
    <row r="446" spans="1:22" ht="14.25" x14ac:dyDescent="0.2">
      <c r="A446" s="18"/>
      <c r="B446" s="18"/>
      <c r="C446" s="18"/>
      <c r="D446" s="18" t="s">
        <v>469</v>
      </c>
      <c r="E446" s="19" t="s">
        <v>470</v>
      </c>
      <c r="F446" s="9">
        <f>Source!AQ332</f>
        <v>0.18</v>
      </c>
      <c r="G446" s="21"/>
      <c r="H446" s="20" t="str">
        <f>Source!DI332</f>
        <v/>
      </c>
      <c r="I446" s="9">
        <f>Source!AV332</f>
        <v>1</v>
      </c>
      <c r="J446" s="9"/>
      <c r="K446" s="21"/>
      <c r="L446" s="21">
        <f>Source!U332</f>
        <v>0.28799999999999998</v>
      </c>
    </row>
    <row r="447" spans="1:22" ht="15" x14ac:dyDescent="0.25">
      <c r="A447" s="26"/>
      <c r="B447" s="26"/>
      <c r="C447" s="26"/>
      <c r="D447" s="26"/>
      <c r="E447" s="26"/>
      <c r="F447" s="26"/>
      <c r="G447" s="26"/>
      <c r="H447" s="26"/>
      <c r="I447" s="26"/>
      <c r="J447" s="53">
        <f>K442+K443+K444+K445</f>
        <v>330.19000000000005</v>
      </c>
      <c r="K447" s="53"/>
      <c r="L447" s="27">
        <f>IF(Source!I332&lt;&gt;0, ROUND(J447/Source!I332, 2), 0)</f>
        <v>206.37</v>
      </c>
      <c r="P447" s="24">
        <f>J447</f>
        <v>330.19000000000005</v>
      </c>
    </row>
    <row r="448" spans="1:22" ht="57" x14ac:dyDescent="0.2">
      <c r="A448" s="18">
        <v>44</v>
      </c>
      <c r="B448" s="18">
        <v>44</v>
      </c>
      <c r="C448" s="18" t="str">
        <f>Source!F334</f>
        <v>1.21-2103-9-2/1</v>
      </c>
      <c r="D448" s="18" t="str">
        <f>Source!G334</f>
        <v>Техническое обслуживание силовых сетей, проложенных по кирпичным и бетонным основаниям, провод сечением 3х1,5-6 мм2 / прим. 3х2,5</v>
      </c>
      <c r="E448" s="19" t="str">
        <f>Source!H334</f>
        <v>100 м</v>
      </c>
      <c r="F448" s="9">
        <f>Source!I334</f>
        <v>0.02</v>
      </c>
      <c r="G448" s="21"/>
      <c r="H448" s="20"/>
      <c r="I448" s="9"/>
      <c r="J448" s="9"/>
      <c r="K448" s="21"/>
      <c r="L448" s="21"/>
      <c r="Q448">
        <f>ROUND((Source!BZ334/100)*ROUND((Source!AF334*Source!AV334)*Source!I334, 2), 2)</f>
        <v>74.94</v>
      </c>
      <c r="R448">
        <f>Source!X334</f>
        <v>74.94</v>
      </c>
      <c r="S448">
        <f>ROUND((Source!CA334/100)*ROUND((Source!AF334*Source!AV334)*Source!I334, 2), 2)</f>
        <v>10.71</v>
      </c>
      <c r="T448">
        <f>Source!Y334</f>
        <v>10.71</v>
      </c>
      <c r="U448">
        <f>ROUND((175/100)*ROUND((Source!AE334*Source!AV334)*Source!I334, 2), 2)</f>
        <v>0</v>
      </c>
      <c r="V448">
        <f>ROUND((108/100)*ROUND(Source!CS334*Source!I334, 2), 2)</f>
        <v>0</v>
      </c>
    </row>
    <row r="449" spans="1:22" x14ac:dyDescent="0.2">
      <c r="D449" s="22" t="str">
        <f>"Объем: "&amp;Source!I334&amp;"=(25*"&amp;"4)*"&amp;"0,2*"&amp;"0,1/"&amp;"100"</f>
        <v>Объем: 0,02=(25*4)*0,2*0,1/100</v>
      </c>
    </row>
    <row r="450" spans="1:22" ht="14.25" x14ac:dyDescent="0.2">
      <c r="A450" s="18"/>
      <c r="B450" s="18"/>
      <c r="C450" s="18"/>
      <c r="D450" s="18" t="s">
        <v>461</v>
      </c>
      <c r="E450" s="19"/>
      <c r="F450" s="9"/>
      <c r="G450" s="21">
        <f>Source!AO334</f>
        <v>5353.15</v>
      </c>
      <c r="H450" s="20" t="str">
        <f>Source!DG334</f>
        <v/>
      </c>
      <c r="I450" s="9">
        <f>Source!AV334</f>
        <v>1</v>
      </c>
      <c r="J450" s="9">
        <f>IF(Source!BA334&lt;&gt; 0, Source!BA334, 1)</f>
        <v>1</v>
      </c>
      <c r="K450" s="21">
        <f>Source!S334</f>
        <v>107.06</v>
      </c>
      <c r="L450" s="21"/>
    </row>
    <row r="451" spans="1:22" ht="14.25" x14ac:dyDescent="0.2">
      <c r="A451" s="18"/>
      <c r="B451" s="18"/>
      <c r="C451" s="18"/>
      <c r="D451" s="18" t="s">
        <v>464</v>
      </c>
      <c r="E451" s="19"/>
      <c r="F451" s="9"/>
      <c r="G451" s="21">
        <f>Source!AL334</f>
        <v>22.51</v>
      </c>
      <c r="H451" s="20" t="str">
        <f>Source!DD334</f>
        <v/>
      </c>
      <c r="I451" s="9">
        <f>Source!AW334</f>
        <v>1</v>
      </c>
      <c r="J451" s="9">
        <f>IF(Source!BC334&lt;&gt; 0, Source!BC334, 1)</f>
        <v>1</v>
      </c>
      <c r="K451" s="21">
        <f>Source!P334</f>
        <v>0.45</v>
      </c>
      <c r="L451" s="21"/>
    </row>
    <row r="452" spans="1:22" ht="14.25" x14ac:dyDescent="0.2">
      <c r="A452" s="18"/>
      <c r="B452" s="18"/>
      <c r="C452" s="18"/>
      <c r="D452" s="18" t="s">
        <v>465</v>
      </c>
      <c r="E452" s="19" t="s">
        <v>466</v>
      </c>
      <c r="F452" s="9">
        <f>Source!AT334</f>
        <v>70</v>
      </c>
      <c r="G452" s="21"/>
      <c r="H452" s="20"/>
      <c r="I452" s="9"/>
      <c r="J452" s="9"/>
      <c r="K452" s="21">
        <f>SUM(R448:R451)</f>
        <v>74.94</v>
      </c>
      <c r="L452" s="21"/>
    </row>
    <row r="453" spans="1:22" ht="14.25" x14ac:dyDescent="0.2">
      <c r="A453" s="18"/>
      <c r="B453" s="18"/>
      <c r="C453" s="18"/>
      <c r="D453" s="18" t="s">
        <v>467</v>
      </c>
      <c r="E453" s="19" t="s">
        <v>466</v>
      </c>
      <c r="F453" s="9">
        <f>Source!AU334</f>
        <v>10</v>
      </c>
      <c r="G453" s="21"/>
      <c r="H453" s="20"/>
      <c r="I453" s="9"/>
      <c r="J453" s="9"/>
      <c r="K453" s="21">
        <f>SUM(T448:T452)</f>
        <v>10.71</v>
      </c>
      <c r="L453" s="21"/>
    </row>
    <row r="454" spans="1:22" ht="14.25" x14ac:dyDescent="0.2">
      <c r="A454" s="18"/>
      <c r="B454" s="18"/>
      <c r="C454" s="18"/>
      <c r="D454" s="18" t="s">
        <v>469</v>
      </c>
      <c r="E454" s="19" t="s">
        <v>470</v>
      </c>
      <c r="F454" s="9">
        <f>Source!AQ334</f>
        <v>10</v>
      </c>
      <c r="G454" s="21"/>
      <c r="H454" s="20" t="str">
        <f>Source!DI334</f>
        <v/>
      </c>
      <c r="I454" s="9">
        <f>Source!AV334</f>
        <v>1</v>
      </c>
      <c r="J454" s="9"/>
      <c r="K454" s="21"/>
      <c r="L454" s="21">
        <f>Source!U334</f>
        <v>0.2</v>
      </c>
    </row>
    <row r="455" spans="1:22" ht="15" x14ac:dyDescent="0.25">
      <c r="A455" s="26"/>
      <c r="B455" s="26"/>
      <c r="C455" s="26"/>
      <c r="D455" s="26"/>
      <c r="E455" s="26"/>
      <c r="F455" s="26"/>
      <c r="G455" s="26"/>
      <c r="H455" s="26"/>
      <c r="I455" s="26"/>
      <c r="J455" s="53">
        <f>K450+K451+K452+K453</f>
        <v>193.16</v>
      </c>
      <c r="K455" s="53"/>
      <c r="L455" s="27">
        <f>IF(Source!I334&lt;&gt;0, ROUND(J455/Source!I334, 2), 0)</f>
        <v>9658</v>
      </c>
      <c r="P455" s="24">
        <f>J455</f>
        <v>193.16</v>
      </c>
    </row>
    <row r="456" spans="1:22" ht="57" x14ac:dyDescent="0.2">
      <c r="A456" s="18">
        <v>45</v>
      </c>
      <c r="B456" s="18">
        <v>45</v>
      </c>
      <c r="C456" s="18" t="str">
        <f>Source!F336</f>
        <v>1.21-2103-9-2/1</v>
      </c>
      <c r="D456" s="18" t="str">
        <f>Source!G336</f>
        <v>Техническое обслуживание силовых сетей, проложенных по кирпичным и бетонным основаниям, провод сечением 3х1,5-6 мм2</v>
      </c>
      <c r="E456" s="19" t="str">
        <f>Source!H336</f>
        <v>100 м</v>
      </c>
      <c r="F456" s="9">
        <f>Source!I336</f>
        <v>2.8000000000000001E-2</v>
      </c>
      <c r="G456" s="21"/>
      <c r="H456" s="20"/>
      <c r="I456" s="9"/>
      <c r="J456" s="9"/>
      <c r="K456" s="21"/>
      <c r="L456" s="21"/>
      <c r="Q456">
        <f>ROUND((Source!BZ336/100)*ROUND((Source!AF336*Source!AV336)*Source!I336, 2), 2)</f>
        <v>104.92</v>
      </c>
      <c r="R456">
        <f>Source!X336</f>
        <v>104.92</v>
      </c>
      <c r="S456">
        <f>ROUND((Source!CA336/100)*ROUND((Source!AF336*Source!AV336)*Source!I336, 2), 2)</f>
        <v>14.99</v>
      </c>
      <c r="T456">
        <f>Source!Y336</f>
        <v>14.99</v>
      </c>
      <c r="U456">
        <f>ROUND((175/100)*ROUND((Source!AE336*Source!AV336)*Source!I336, 2), 2)</f>
        <v>0</v>
      </c>
      <c r="V456">
        <f>ROUND((108/100)*ROUND(Source!CS336*Source!I336, 2), 2)</f>
        <v>0</v>
      </c>
    </row>
    <row r="457" spans="1:22" x14ac:dyDescent="0.2">
      <c r="D457" s="22" t="str">
        <f>"Объем: "&amp;Source!I336&amp;"=(35*"&amp;"4)*"&amp;"0,2*"&amp;"0,1/"&amp;"100"</f>
        <v>Объем: 0,028=(35*4)*0,2*0,1/100</v>
      </c>
    </row>
    <row r="458" spans="1:22" ht="14.25" x14ac:dyDescent="0.2">
      <c r="A458" s="18"/>
      <c r="B458" s="18"/>
      <c r="C458" s="18"/>
      <c r="D458" s="18" t="s">
        <v>461</v>
      </c>
      <c r="E458" s="19"/>
      <c r="F458" s="9"/>
      <c r="G458" s="21">
        <f>Source!AO336</f>
        <v>5353.15</v>
      </c>
      <c r="H458" s="20" t="str">
        <f>Source!DG336</f>
        <v/>
      </c>
      <c r="I458" s="9">
        <f>Source!AV336</f>
        <v>1</v>
      </c>
      <c r="J458" s="9">
        <f>IF(Source!BA336&lt;&gt; 0, Source!BA336, 1)</f>
        <v>1</v>
      </c>
      <c r="K458" s="21">
        <f>Source!S336</f>
        <v>149.88999999999999</v>
      </c>
      <c r="L458" s="21"/>
    </row>
    <row r="459" spans="1:22" ht="14.25" x14ac:dyDescent="0.2">
      <c r="A459" s="18"/>
      <c r="B459" s="18"/>
      <c r="C459" s="18"/>
      <c r="D459" s="18" t="s">
        <v>464</v>
      </c>
      <c r="E459" s="19"/>
      <c r="F459" s="9"/>
      <c r="G459" s="21">
        <f>Source!AL336</f>
        <v>22.51</v>
      </c>
      <c r="H459" s="20" t="str">
        <f>Source!DD336</f>
        <v/>
      </c>
      <c r="I459" s="9">
        <f>Source!AW336</f>
        <v>1</v>
      </c>
      <c r="J459" s="9">
        <f>IF(Source!BC336&lt;&gt; 0, Source!BC336, 1)</f>
        <v>1</v>
      </c>
      <c r="K459" s="21">
        <f>Source!P336</f>
        <v>0.63</v>
      </c>
      <c r="L459" s="21"/>
    </row>
    <row r="460" spans="1:22" ht="14.25" x14ac:dyDescent="0.2">
      <c r="A460" s="18"/>
      <c r="B460" s="18"/>
      <c r="C460" s="18"/>
      <c r="D460" s="18" t="s">
        <v>465</v>
      </c>
      <c r="E460" s="19" t="s">
        <v>466</v>
      </c>
      <c r="F460" s="9">
        <f>Source!AT336</f>
        <v>70</v>
      </c>
      <c r="G460" s="21"/>
      <c r="H460" s="20"/>
      <c r="I460" s="9"/>
      <c r="J460" s="9"/>
      <c r="K460" s="21">
        <f>SUM(R456:R459)</f>
        <v>104.92</v>
      </c>
      <c r="L460" s="21"/>
    </row>
    <row r="461" spans="1:22" ht="14.25" x14ac:dyDescent="0.2">
      <c r="A461" s="18"/>
      <c r="B461" s="18"/>
      <c r="C461" s="18"/>
      <c r="D461" s="18" t="s">
        <v>467</v>
      </c>
      <c r="E461" s="19" t="s">
        <v>466</v>
      </c>
      <c r="F461" s="9">
        <f>Source!AU336</f>
        <v>10</v>
      </c>
      <c r="G461" s="21"/>
      <c r="H461" s="20"/>
      <c r="I461" s="9"/>
      <c r="J461" s="9"/>
      <c r="K461" s="21">
        <f>SUM(T456:T460)</f>
        <v>14.99</v>
      </c>
      <c r="L461" s="21"/>
    </row>
    <row r="462" spans="1:22" ht="14.25" x14ac:dyDescent="0.2">
      <c r="A462" s="18"/>
      <c r="B462" s="18"/>
      <c r="C462" s="18"/>
      <c r="D462" s="18" t="s">
        <v>469</v>
      </c>
      <c r="E462" s="19" t="s">
        <v>470</v>
      </c>
      <c r="F462" s="9">
        <f>Source!AQ336</f>
        <v>10</v>
      </c>
      <c r="G462" s="21"/>
      <c r="H462" s="20" t="str">
        <f>Source!DI336</f>
        <v/>
      </c>
      <c r="I462" s="9">
        <f>Source!AV336</f>
        <v>1</v>
      </c>
      <c r="J462" s="9"/>
      <c r="K462" s="21"/>
      <c r="L462" s="21">
        <f>Source!U336</f>
        <v>0.28000000000000003</v>
      </c>
    </row>
    <row r="463" spans="1:22" ht="15" x14ac:dyDescent="0.25">
      <c r="A463" s="26"/>
      <c r="B463" s="26"/>
      <c r="C463" s="26"/>
      <c r="D463" s="26"/>
      <c r="E463" s="26"/>
      <c r="F463" s="26"/>
      <c r="G463" s="26"/>
      <c r="H463" s="26"/>
      <c r="I463" s="26"/>
      <c r="J463" s="53">
        <f>K458+K459+K460+K461</f>
        <v>270.43</v>
      </c>
      <c r="K463" s="53"/>
      <c r="L463" s="27">
        <f>IF(Source!I336&lt;&gt;0, ROUND(J463/Source!I336, 2), 0)</f>
        <v>9658.2099999999991</v>
      </c>
      <c r="P463" s="24">
        <f>J463</f>
        <v>270.43</v>
      </c>
    </row>
    <row r="465" spans="1:22" ht="15" x14ac:dyDescent="0.25">
      <c r="A465" s="57" t="str">
        <f>CONCATENATE("Итого по подразделу: ",IF(Source!G339&lt;&gt;"Новый подраздел", Source!G339, ""))</f>
        <v>Итого по подразделу: Электрооборудование</v>
      </c>
      <c r="B465" s="57"/>
      <c r="C465" s="57"/>
      <c r="D465" s="57"/>
      <c r="E465" s="57"/>
      <c r="F465" s="57"/>
      <c r="G465" s="57"/>
      <c r="H465" s="57"/>
      <c r="I465" s="57"/>
      <c r="J465" s="55">
        <f>SUM(P359:P464)</f>
        <v>155588.11000000002</v>
      </c>
      <c r="K465" s="56"/>
      <c r="L465" s="28"/>
    </row>
    <row r="468" spans="1:22" ht="15" x14ac:dyDescent="0.25">
      <c r="A468" s="57" t="str">
        <f>CONCATENATE("Итого по разделу: ",IF(Source!G369&lt;&gt;"Новый раздел", Source!G369, ""))</f>
        <v>Итого по разделу: Туалетный модуль 2 кабины (4 шт.)</v>
      </c>
      <c r="B468" s="57"/>
      <c r="C468" s="57"/>
      <c r="D468" s="57"/>
      <c r="E468" s="57"/>
      <c r="F468" s="57"/>
      <c r="G468" s="57"/>
      <c r="H468" s="57"/>
      <c r="I468" s="57"/>
      <c r="J468" s="55">
        <f>SUM(P254:P467)</f>
        <v>268949.52999999997</v>
      </c>
      <c r="K468" s="56"/>
      <c r="L468" s="28"/>
    </row>
    <row r="471" spans="1:22" ht="16.5" x14ac:dyDescent="0.25">
      <c r="A471" s="54" t="str">
        <f>CONCATENATE("Раздел: ",IF(Source!G399&lt;&gt;"Новый раздел", Source!G399, ""))</f>
        <v>Раздел: Туалетный модуль 2 кабины с сололифтами (1 шт.)</v>
      </c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</row>
    <row r="473" spans="1:22" ht="16.5" x14ac:dyDescent="0.25">
      <c r="A473" s="54" t="str">
        <f>CONCATENATE("Подраздел: ",IF(Source!G403&lt;&gt;"Новый подраздел", Source!G403, ""))</f>
        <v>Подраздел: Оборудование водоснабжения и водоотведения</v>
      </c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</row>
    <row r="474" spans="1:22" ht="28.5" x14ac:dyDescent="0.2">
      <c r="A474" s="18">
        <v>46</v>
      </c>
      <c r="B474" s="18">
        <v>46</v>
      </c>
      <c r="C474" s="18" t="str">
        <f>Source!F409</f>
        <v>1.16-3201-2-1/1</v>
      </c>
      <c r="D474" s="18" t="str">
        <f>Source!G409</f>
        <v>Укрепление расшатавшихся санитарно-технических приборов - умывальники</v>
      </c>
      <c r="E474" s="19" t="str">
        <f>Source!H409</f>
        <v>100 шт.</v>
      </c>
      <c r="F474" s="9">
        <f>Source!I409</f>
        <v>0.02</v>
      </c>
      <c r="G474" s="21"/>
      <c r="H474" s="20"/>
      <c r="I474" s="9"/>
      <c r="J474" s="9"/>
      <c r="K474" s="21"/>
      <c r="L474" s="21"/>
      <c r="Q474">
        <f>ROUND((Source!BZ409/100)*ROUND((Source!AF409*Source!AV409)*Source!I409, 2), 2)</f>
        <v>741.1</v>
      </c>
      <c r="R474">
        <f>Source!X409</f>
        <v>741.1</v>
      </c>
      <c r="S474">
        <f>ROUND((Source!CA409/100)*ROUND((Source!AF409*Source!AV409)*Source!I409, 2), 2)</f>
        <v>105.87</v>
      </c>
      <c r="T474">
        <f>Source!Y409</f>
        <v>105.87</v>
      </c>
      <c r="U474">
        <f>ROUND((175/100)*ROUND((Source!AE409*Source!AV409)*Source!I409, 2), 2)</f>
        <v>0.02</v>
      </c>
      <c r="V474">
        <f>ROUND((108/100)*ROUND(Source!CS409*Source!I409, 2), 2)</f>
        <v>0.01</v>
      </c>
    </row>
    <row r="475" spans="1:22" x14ac:dyDescent="0.2">
      <c r="D475" s="22" t="str">
        <f>"Объем: "&amp;Source!I409&amp;"=(2*"&amp;"1)/"&amp;"100"</f>
        <v>Объем: 0,02=(2*1)/100</v>
      </c>
    </row>
    <row r="476" spans="1:22" ht="14.25" x14ac:dyDescent="0.2">
      <c r="A476" s="18"/>
      <c r="B476" s="18"/>
      <c r="C476" s="18"/>
      <c r="D476" s="18" t="s">
        <v>461</v>
      </c>
      <c r="E476" s="19"/>
      <c r="F476" s="9"/>
      <c r="G476" s="21">
        <f>Source!AO409</f>
        <v>52935.41</v>
      </c>
      <c r="H476" s="20" t="str">
        <f>Source!DG409</f>
        <v/>
      </c>
      <c r="I476" s="9">
        <f>Source!AV409</f>
        <v>1</v>
      </c>
      <c r="J476" s="9">
        <f>IF(Source!BA409&lt;&gt; 0, Source!BA409, 1)</f>
        <v>1</v>
      </c>
      <c r="K476" s="21">
        <f>Source!S409</f>
        <v>1058.71</v>
      </c>
      <c r="L476" s="21"/>
    </row>
    <row r="477" spans="1:22" ht="14.25" x14ac:dyDescent="0.2">
      <c r="A477" s="18"/>
      <c r="B477" s="18"/>
      <c r="C477" s="18"/>
      <c r="D477" s="18" t="s">
        <v>462</v>
      </c>
      <c r="E477" s="19"/>
      <c r="F477" s="9"/>
      <c r="G477" s="21">
        <f>Source!AM409</f>
        <v>61.83</v>
      </c>
      <c r="H477" s="20" t="str">
        <f>Source!DE409</f>
        <v/>
      </c>
      <c r="I477" s="9">
        <f>Source!AV409</f>
        <v>1</v>
      </c>
      <c r="J477" s="9">
        <f>IF(Source!BB409&lt;&gt; 0, Source!BB409, 1)</f>
        <v>1</v>
      </c>
      <c r="K477" s="21">
        <f>Source!Q409</f>
        <v>1.24</v>
      </c>
      <c r="L477" s="21"/>
    </row>
    <row r="478" spans="1:22" ht="14.25" x14ac:dyDescent="0.2">
      <c r="A478" s="18"/>
      <c r="B478" s="18"/>
      <c r="C478" s="18"/>
      <c r="D478" s="18" t="s">
        <v>463</v>
      </c>
      <c r="E478" s="19"/>
      <c r="F478" s="9"/>
      <c r="G478" s="21">
        <f>Source!AN409</f>
        <v>0.7</v>
      </c>
      <c r="H478" s="20" t="str">
        <f>Source!DF409</f>
        <v/>
      </c>
      <c r="I478" s="9">
        <f>Source!AV409</f>
        <v>1</v>
      </c>
      <c r="J478" s="9">
        <f>IF(Source!BS409&lt;&gt; 0, Source!BS409, 1)</f>
        <v>1</v>
      </c>
      <c r="K478" s="23">
        <f>Source!R409</f>
        <v>0.01</v>
      </c>
      <c r="L478" s="21"/>
    </row>
    <row r="479" spans="1:22" ht="14.25" x14ac:dyDescent="0.2">
      <c r="A479" s="18"/>
      <c r="B479" s="18"/>
      <c r="C479" s="18"/>
      <c r="D479" s="18" t="s">
        <v>464</v>
      </c>
      <c r="E479" s="19"/>
      <c r="F479" s="9"/>
      <c r="G479" s="21">
        <f>Source!AL409</f>
        <v>776.55</v>
      </c>
      <c r="H479" s="20" t="str">
        <f>Source!DD409</f>
        <v/>
      </c>
      <c r="I479" s="9">
        <f>Source!AW409</f>
        <v>1</v>
      </c>
      <c r="J479" s="9">
        <f>IF(Source!BC409&lt;&gt; 0, Source!BC409, 1)</f>
        <v>1</v>
      </c>
      <c r="K479" s="21">
        <f>Source!P409</f>
        <v>15.53</v>
      </c>
      <c r="L479" s="21"/>
    </row>
    <row r="480" spans="1:22" ht="14.25" x14ac:dyDescent="0.2">
      <c r="A480" s="18"/>
      <c r="B480" s="18"/>
      <c r="C480" s="18"/>
      <c r="D480" s="18" t="s">
        <v>465</v>
      </c>
      <c r="E480" s="19" t="s">
        <v>466</v>
      </c>
      <c r="F480" s="9">
        <f>Source!AT409</f>
        <v>70</v>
      </c>
      <c r="G480" s="21"/>
      <c r="H480" s="20"/>
      <c r="I480" s="9"/>
      <c r="J480" s="9"/>
      <c r="K480" s="21">
        <f>SUM(R474:R479)</f>
        <v>741.1</v>
      </c>
      <c r="L480" s="21"/>
    </row>
    <row r="481" spans="1:22" ht="14.25" x14ac:dyDescent="0.2">
      <c r="A481" s="18"/>
      <c r="B481" s="18"/>
      <c r="C481" s="18"/>
      <c r="D481" s="18" t="s">
        <v>467</v>
      </c>
      <c r="E481" s="19" t="s">
        <v>466</v>
      </c>
      <c r="F481" s="9">
        <f>Source!AU409</f>
        <v>10</v>
      </c>
      <c r="G481" s="21"/>
      <c r="H481" s="20"/>
      <c r="I481" s="9"/>
      <c r="J481" s="9"/>
      <c r="K481" s="21">
        <f>SUM(T474:T480)</f>
        <v>105.87</v>
      </c>
      <c r="L481" s="21"/>
    </row>
    <row r="482" spans="1:22" ht="14.25" x14ac:dyDescent="0.2">
      <c r="A482" s="18"/>
      <c r="B482" s="18"/>
      <c r="C482" s="18"/>
      <c r="D482" s="18" t="s">
        <v>468</v>
      </c>
      <c r="E482" s="19" t="s">
        <v>466</v>
      </c>
      <c r="F482" s="9">
        <f>108</f>
        <v>108</v>
      </c>
      <c r="G482" s="21"/>
      <c r="H482" s="20"/>
      <c r="I482" s="9"/>
      <c r="J482" s="9"/>
      <c r="K482" s="21">
        <f>SUM(V474:V481)</f>
        <v>0.01</v>
      </c>
      <c r="L482" s="21"/>
    </row>
    <row r="483" spans="1:22" ht="14.25" x14ac:dyDescent="0.2">
      <c r="A483" s="18"/>
      <c r="B483" s="18"/>
      <c r="C483" s="18"/>
      <c r="D483" s="18" t="s">
        <v>469</v>
      </c>
      <c r="E483" s="19" t="s">
        <v>470</v>
      </c>
      <c r="F483" s="9">
        <f>Source!AQ409</f>
        <v>104.44</v>
      </c>
      <c r="G483" s="21"/>
      <c r="H483" s="20" t="str">
        <f>Source!DI409</f>
        <v/>
      </c>
      <c r="I483" s="9">
        <f>Source!AV409</f>
        <v>1</v>
      </c>
      <c r="J483" s="9"/>
      <c r="K483" s="21"/>
      <c r="L483" s="21">
        <f>Source!U409</f>
        <v>2.0888</v>
      </c>
    </row>
    <row r="484" spans="1:22" ht="15" x14ac:dyDescent="0.25">
      <c r="A484" s="26"/>
      <c r="B484" s="26"/>
      <c r="C484" s="26"/>
      <c r="D484" s="26"/>
      <c r="E484" s="26"/>
      <c r="F484" s="26"/>
      <c r="G484" s="26"/>
      <c r="H484" s="26"/>
      <c r="I484" s="26"/>
      <c r="J484" s="53">
        <f>K476+K477+K479+K480+K481+K482</f>
        <v>1922.4599999999998</v>
      </c>
      <c r="K484" s="53"/>
      <c r="L484" s="27">
        <f>IF(Source!I409&lt;&gt;0, ROUND(J484/Source!I409, 2), 0)</f>
        <v>96123</v>
      </c>
      <c r="P484" s="24">
        <f>J484</f>
        <v>1922.4599999999998</v>
      </c>
    </row>
    <row r="485" spans="1:22" ht="42.75" x14ac:dyDescent="0.2">
      <c r="A485" s="18">
        <v>47</v>
      </c>
      <c r="B485" s="18">
        <v>47</v>
      </c>
      <c r="C485" s="18" t="str">
        <f>Source!F410</f>
        <v>1.16-3201-2-2/1</v>
      </c>
      <c r="D485" s="18" t="str">
        <f>Source!G410</f>
        <v>Укрепление расшатавшихся санитарно-технических приборов - унитазы и биде</v>
      </c>
      <c r="E485" s="19" t="str">
        <f>Source!H410</f>
        <v>100 шт.</v>
      </c>
      <c r="F485" s="9">
        <f>Source!I410</f>
        <v>0.02</v>
      </c>
      <c r="G485" s="21"/>
      <c r="H485" s="20"/>
      <c r="I485" s="9"/>
      <c r="J485" s="9"/>
      <c r="K485" s="21"/>
      <c r="L485" s="21"/>
      <c r="Q485">
        <f>ROUND((Source!BZ410/100)*ROUND((Source!AF410*Source!AV410)*Source!I410, 2), 2)</f>
        <v>1078.08</v>
      </c>
      <c r="R485">
        <f>Source!X410</f>
        <v>1078.08</v>
      </c>
      <c r="S485">
        <f>ROUND((Source!CA410/100)*ROUND((Source!AF410*Source!AV410)*Source!I410, 2), 2)</f>
        <v>154.01</v>
      </c>
      <c r="T485">
        <f>Source!Y410</f>
        <v>154.01</v>
      </c>
      <c r="U485">
        <f>ROUND((175/100)*ROUND((Source!AE410*Source!AV410)*Source!I410, 2), 2)</f>
        <v>0.02</v>
      </c>
      <c r="V485">
        <f>ROUND((108/100)*ROUND(Source!CS410*Source!I410, 2), 2)</f>
        <v>0.01</v>
      </c>
    </row>
    <row r="486" spans="1:22" x14ac:dyDescent="0.2">
      <c r="D486" s="22" t="str">
        <f>"Объем: "&amp;Source!I410&amp;"=(2*"&amp;"1)/"&amp;"100"</f>
        <v>Объем: 0,02=(2*1)/100</v>
      </c>
    </row>
    <row r="487" spans="1:22" ht="14.25" x14ac:dyDescent="0.2">
      <c r="A487" s="18"/>
      <c r="B487" s="18"/>
      <c r="C487" s="18"/>
      <c r="D487" s="18" t="s">
        <v>461</v>
      </c>
      <c r="E487" s="19"/>
      <c r="F487" s="9"/>
      <c r="G487" s="21">
        <f>Source!AO410</f>
        <v>77005.72</v>
      </c>
      <c r="H487" s="20" t="str">
        <f>Source!DG410</f>
        <v/>
      </c>
      <c r="I487" s="9">
        <f>Source!AV410</f>
        <v>1</v>
      </c>
      <c r="J487" s="9">
        <f>IF(Source!BA410&lt;&gt; 0, Source!BA410, 1)</f>
        <v>1</v>
      </c>
      <c r="K487" s="21">
        <f>Source!S410</f>
        <v>1540.11</v>
      </c>
      <c r="L487" s="21"/>
    </row>
    <row r="488" spans="1:22" ht="14.25" x14ac:dyDescent="0.2">
      <c r="A488" s="18"/>
      <c r="B488" s="18"/>
      <c r="C488" s="18"/>
      <c r="D488" s="18" t="s">
        <v>462</v>
      </c>
      <c r="E488" s="19"/>
      <c r="F488" s="9"/>
      <c r="G488" s="21">
        <f>Source!AM410</f>
        <v>61.83</v>
      </c>
      <c r="H488" s="20" t="str">
        <f>Source!DE410</f>
        <v/>
      </c>
      <c r="I488" s="9">
        <f>Source!AV410</f>
        <v>1</v>
      </c>
      <c r="J488" s="9">
        <f>IF(Source!BB410&lt;&gt; 0, Source!BB410, 1)</f>
        <v>1</v>
      </c>
      <c r="K488" s="21">
        <f>Source!Q410</f>
        <v>1.24</v>
      </c>
      <c r="L488" s="21"/>
    </row>
    <row r="489" spans="1:22" ht="14.25" x14ac:dyDescent="0.2">
      <c r="A489" s="18"/>
      <c r="B489" s="18"/>
      <c r="C489" s="18"/>
      <c r="D489" s="18" t="s">
        <v>463</v>
      </c>
      <c r="E489" s="19"/>
      <c r="F489" s="9"/>
      <c r="G489" s="21">
        <f>Source!AN410</f>
        <v>0.7</v>
      </c>
      <c r="H489" s="20" t="str">
        <f>Source!DF410</f>
        <v/>
      </c>
      <c r="I489" s="9">
        <f>Source!AV410</f>
        <v>1</v>
      </c>
      <c r="J489" s="9">
        <f>IF(Source!BS410&lt;&gt; 0, Source!BS410, 1)</f>
        <v>1</v>
      </c>
      <c r="K489" s="23">
        <f>Source!R410</f>
        <v>0.01</v>
      </c>
      <c r="L489" s="21"/>
    </row>
    <row r="490" spans="1:22" ht="14.25" x14ac:dyDescent="0.2">
      <c r="A490" s="18"/>
      <c r="B490" s="18"/>
      <c r="C490" s="18"/>
      <c r="D490" s="18" t="s">
        <v>464</v>
      </c>
      <c r="E490" s="19"/>
      <c r="F490" s="9"/>
      <c r="G490" s="21">
        <f>Source!AL410</f>
        <v>776.55</v>
      </c>
      <c r="H490" s="20" t="str">
        <f>Source!DD410</f>
        <v/>
      </c>
      <c r="I490" s="9">
        <f>Source!AW410</f>
        <v>1</v>
      </c>
      <c r="J490" s="9">
        <f>IF(Source!BC410&lt;&gt; 0, Source!BC410, 1)</f>
        <v>1</v>
      </c>
      <c r="K490" s="21">
        <f>Source!P410</f>
        <v>15.53</v>
      </c>
      <c r="L490" s="21"/>
    </row>
    <row r="491" spans="1:22" ht="14.25" x14ac:dyDescent="0.2">
      <c r="A491" s="18"/>
      <c r="B491" s="18"/>
      <c r="C491" s="18"/>
      <c r="D491" s="18" t="s">
        <v>465</v>
      </c>
      <c r="E491" s="19" t="s">
        <v>466</v>
      </c>
      <c r="F491" s="9">
        <f>Source!AT410</f>
        <v>70</v>
      </c>
      <c r="G491" s="21"/>
      <c r="H491" s="20"/>
      <c r="I491" s="9"/>
      <c r="J491" s="9"/>
      <c r="K491" s="21">
        <f>SUM(R485:R490)</f>
        <v>1078.08</v>
      </c>
      <c r="L491" s="21"/>
    </row>
    <row r="492" spans="1:22" ht="14.25" x14ac:dyDescent="0.2">
      <c r="A492" s="18"/>
      <c r="B492" s="18"/>
      <c r="C492" s="18"/>
      <c r="D492" s="18" t="s">
        <v>467</v>
      </c>
      <c r="E492" s="19" t="s">
        <v>466</v>
      </c>
      <c r="F492" s="9">
        <f>Source!AU410</f>
        <v>10</v>
      </c>
      <c r="G492" s="21"/>
      <c r="H492" s="20"/>
      <c r="I492" s="9"/>
      <c r="J492" s="9"/>
      <c r="K492" s="21">
        <f>SUM(T485:T491)</f>
        <v>154.01</v>
      </c>
      <c r="L492" s="21"/>
    </row>
    <row r="493" spans="1:22" ht="14.25" x14ac:dyDescent="0.2">
      <c r="A493" s="18"/>
      <c r="B493" s="18"/>
      <c r="C493" s="18"/>
      <c r="D493" s="18" t="s">
        <v>468</v>
      </c>
      <c r="E493" s="19" t="s">
        <v>466</v>
      </c>
      <c r="F493" s="9">
        <f>108</f>
        <v>108</v>
      </c>
      <c r="G493" s="21"/>
      <c r="H493" s="20"/>
      <c r="I493" s="9"/>
      <c r="J493" s="9"/>
      <c r="K493" s="21">
        <f>SUM(V485:V492)</f>
        <v>0.01</v>
      </c>
      <c r="L493" s="21"/>
    </row>
    <row r="494" spans="1:22" ht="14.25" x14ac:dyDescent="0.2">
      <c r="A494" s="18"/>
      <c r="B494" s="18"/>
      <c r="C494" s="18"/>
      <c r="D494" s="18" t="s">
        <v>469</v>
      </c>
      <c r="E494" s="19" t="s">
        <v>470</v>
      </c>
      <c r="F494" s="9">
        <f>Source!AQ410</f>
        <v>151.93</v>
      </c>
      <c r="G494" s="21"/>
      <c r="H494" s="20" t="str">
        <f>Source!DI410</f>
        <v/>
      </c>
      <c r="I494" s="9">
        <f>Source!AV410</f>
        <v>1</v>
      </c>
      <c r="J494" s="9"/>
      <c r="K494" s="21"/>
      <c r="L494" s="21">
        <f>Source!U410</f>
        <v>3.0386000000000002</v>
      </c>
    </row>
    <row r="495" spans="1:22" ht="15" x14ac:dyDescent="0.25">
      <c r="A495" s="26"/>
      <c r="B495" s="26"/>
      <c r="C495" s="26"/>
      <c r="D495" s="26"/>
      <c r="E495" s="26"/>
      <c r="F495" s="26"/>
      <c r="G495" s="26"/>
      <c r="H495" s="26"/>
      <c r="I495" s="26"/>
      <c r="J495" s="53">
        <f>K487+K488+K490+K491+K492+K493</f>
        <v>2788.9800000000005</v>
      </c>
      <c r="K495" s="53"/>
      <c r="L495" s="27">
        <f>IF(Source!I410&lt;&gt;0, ROUND(J495/Source!I410, 2), 0)</f>
        <v>139449</v>
      </c>
      <c r="P495" s="24">
        <f>J495</f>
        <v>2788.9800000000005</v>
      </c>
    </row>
    <row r="496" spans="1:22" ht="42.75" x14ac:dyDescent="0.2">
      <c r="A496" s="18">
        <v>48</v>
      </c>
      <c r="B496" s="18">
        <v>48</v>
      </c>
      <c r="C496" s="18" t="str">
        <f>Source!F412</f>
        <v>1.23-2103-41-1/1</v>
      </c>
      <c r="D496" s="18" t="str">
        <f>Source!G412</f>
        <v>Техническое обслуживание регулирующего клапана / Смеситель для раковины</v>
      </c>
      <c r="E496" s="19" t="str">
        <f>Source!H412</f>
        <v>шт.</v>
      </c>
      <c r="F496" s="9">
        <f>Source!I412</f>
        <v>2</v>
      </c>
      <c r="G496" s="21"/>
      <c r="H496" s="20"/>
      <c r="I496" s="9"/>
      <c r="J496" s="9"/>
      <c r="K496" s="21"/>
      <c r="L496" s="21"/>
      <c r="Q496">
        <f>ROUND((Source!BZ412/100)*ROUND((Source!AF412*Source!AV412)*Source!I412, 2), 2)</f>
        <v>291.2</v>
      </c>
      <c r="R496">
        <f>Source!X412</f>
        <v>291.2</v>
      </c>
      <c r="S496">
        <f>ROUND((Source!CA412/100)*ROUND((Source!AF412*Source!AV412)*Source!I412, 2), 2)</f>
        <v>41.6</v>
      </c>
      <c r="T496">
        <f>Source!Y412</f>
        <v>41.6</v>
      </c>
      <c r="U496">
        <f>ROUND((175/100)*ROUND((Source!AE412*Source!AV412)*Source!I412, 2), 2)</f>
        <v>173.5</v>
      </c>
      <c r="V496">
        <f>ROUND((108/100)*ROUND(Source!CS412*Source!I412, 2), 2)</f>
        <v>107.07</v>
      </c>
    </row>
    <row r="497" spans="1:22" x14ac:dyDescent="0.2">
      <c r="D497" s="22" t="str">
        <f>"Объем: "&amp;Source!I412&amp;"=(2)*"&amp;"1"</f>
        <v>Объем: 2=(2)*1</v>
      </c>
    </row>
    <row r="498" spans="1:22" ht="14.25" x14ac:dyDescent="0.2">
      <c r="A498" s="18"/>
      <c r="B498" s="18"/>
      <c r="C498" s="18"/>
      <c r="D498" s="18" t="s">
        <v>461</v>
      </c>
      <c r="E498" s="19"/>
      <c r="F498" s="9"/>
      <c r="G498" s="21">
        <f>Source!AO412</f>
        <v>208</v>
      </c>
      <c r="H498" s="20" t="str">
        <f>Source!DG412</f>
        <v/>
      </c>
      <c r="I498" s="9">
        <f>Source!AV412</f>
        <v>1</v>
      </c>
      <c r="J498" s="9">
        <f>IF(Source!BA412&lt;&gt; 0, Source!BA412, 1)</f>
        <v>1</v>
      </c>
      <c r="K498" s="21">
        <f>Source!S412</f>
        <v>416</v>
      </c>
      <c r="L498" s="21"/>
    </row>
    <row r="499" spans="1:22" ht="14.25" x14ac:dyDescent="0.2">
      <c r="A499" s="18"/>
      <c r="B499" s="18"/>
      <c r="C499" s="18"/>
      <c r="D499" s="18" t="s">
        <v>462</v>
      </c>
      <c r="E499" s="19"/>
      <c r="F499" s="9"/>
      <c r="G499" s="21">
        <f>Source!AM412</f>
        <v>78.180000000000007</v>
      </c>
      <c r="H499" s="20" t="str">
        <f>Source!DE412</f>
        <v/>
      </c>
      <c r="I499" s="9">
        <f>Source!AV412</f>
        <v>1</v>
      </c>
      <c r="J499" s="9">
        <f>IF(Source!BB412&lt;&gt; 0, Source!BB412, 1)</f>
        <v>1</v>
      </c>
      <c r="K499" s="21">
        <f>Source!Q412</f>
        <v>156.36000000000001</v>
      </c>
      <c r="L499" s="21"/>
    </row>
    <row r="500" spans="1:22" ht="14.25" x14ac:dyDescent="0.2">
      <c r="A500" s="18"/>
      <c r="B500" s="18"/>
      <c r="C500" s="18"/>
      <c r="D500" s="18" t="s">
        <v>463</v>
      </c>
      <c r="E500" s="19"/>
      <c r="F500" s="9"/>
      <c r="G500" s="21">
        <f>Source!AN412</f>
        <v>49.57</v>
      </c>
      <c r="H500" s="20" t="str">
        <f>Source!DF412</f>
        <v/>
      </c>
      <c r="I500" s="9">
        <f>Source!AV412</f>
        <v>1</v>
      </c>
      <c r="J500" s="9">
        <f>IF(Source!BS412&lt;&gt; 0, Source!BS412, 1)</f>
        <v>1</v>
      </c>
      <c r="K500" s="23">
        <f>Source!R412</f>
        <v>99.14</v>
      </c>
      <c r="L500" s="21"/>
    </row>
    <row r="501" spans="1:22" ht="14.25" x14ac:dyDescent="0.2">
      <c r="A501" s="18"/>
      <c r="B501" s="18"/>
      <c r="C501" s="18"/>
      <c r="D501" s="18" t="s">
        <v>465</v>
      </c>
      <c r="E501" s="19" t="s">
        <v>466</v>
      </c>
      <c r="F501" s="9">
        <f>Source!AT412</f>
        <v>70</v>
      </c>
      <c r="G501" s="21"/>
      <c r="H501" s="20"/>
      <c r="I501" s="9"/>
      <c r="J501" s="9"/>
      <c r="K501" s="21">
        <f>SUM(R496:R500)</f>
        <v>291.2</v>
      </c>
      <c r="L501" s="21"/>
    </row>
    <row r="502" spans="1:22" ht="14.25" x14ac:dyDescent="0.2">
      <c r="A502" s="18"/>
      <c r="B502" s="18"/>
      <c r="C502" s="18"/>
      <c r="D502" s="18" t="s">
        <v>467</v>
      </c>
      <c r="E502" s="19" t="s">
        <v>466</v>
      </c>
      <c r="F502" s="9">
        <f>Source!AU412</f>
        <v>10</v>
      </c>
      <c r="G502" s="21"/>
      <c r="H502" s="20"/>
      <c r="I502" s="9"/>
      <c r="J502" s="9"/>
      <c r="K502" s="21">
        <f>SUM(T496:T501)</f>
        <v>41.6</v>
      </c>
      <c r="L502" s="21"/>
    </row>
    <row r="503" spans="1:22" ht="14.25" x14ac:dyDescent="0.2">
      <c r="A503" s="18"/>
      <c r="B503" s="18"/>
      <c r="C503" s="18"/>
      <c r="D503" s="18" t="s">
        <v>468</v>
      </c>
      <c r="E503" s="19" t="s">
        <v>466</v>
      </c>
      <c r="F503" s="9">
        <f>108</f>
        <v>108</v>
      </c>
      <c r="G503" s="21"/>
      <c r="H503" s="20"/>
      <c r="I503" s="9"/>
      <c r="J503" s="9"/>
      <c r="K503" s="21">
        <f>SUM(V496:V502)</f>
        <v>107.07</v>
      </c>
      <c r="L503" s="21"/>
    </row>
    <row r="504" spans="1:22" ht="14.25" x14ac:dyDescent="0.2">
      <c r="A504" s="18"/>
      <c r="B504" s="18"/>
      <c r="C504" s="18"/>
      <c r="D504" s="18" t="s">
        <v>469</v>
      </c>
      <c r="E504" s="19" t="s">
        <v>470</v>
      </c>
      <c r="F504" s="9">
        <f>Source!AQ412</f>
        <v>0.37</v>
      </c>
      <c r="G504" s="21"/>
      <c r="H504" s="20" t="str">
        <f>Source!DI412</f>
        <v/>
      </c>
      <c r="I504" s="9">
        <f>Source!AV412</f>
        <v>1</v>
      </c>
      <c r="J504" s="9"/>
      <c r="K504" s="21"/>
      <c r="L504" s="21">
        <f>Source!U412</f>
        <v>0.74</v>
      </c>
    </row>
    <row r="505" spans="1:22" ht="15" x14ac:dyDescent="0.25">
      <c r="A505" s="26"/>
      <c r="B505" s="26"/>
      <c r="C505" s="26"/>
      <c r="D505" s="26"/>
      <c r="E505" s="26"/>
      <c r="F505" s="26"/>
      <c r="G505" s="26"/>
      <c r="H505" s="26"/>
      <c r="I505" s="26"/>
      <c r="J505" s="53">
        <f>K498+K499+K501+K502+K503</f>
        <v>1012.23</v>
      </c>
      <c r="K505" s="53"/>
      <c r="L505" s="27">
        <f>IF(Source!I412&lt;&gt;0, ROUND(J505/Source!I412, 2), 0)</f>
        <v>506.12</v>
      </c>
      <c r="P505" s="24">
        <f>J505</f>
        <v>1012.23</v>
      </c>
    </row>
    <row r="506" spans="1:22" ht="28.5" x14ac:dyDescent="0.2">
      <c r="A506" s="18">
        <v>49</v>
      </c>
      <c r="B506" s="18">
        <v>49</v>
      </c>
      <c r="C506" s="18" t="str">
        <f>Source!F413</f>
        <v>1.16-3201-1-1/1</v>
      </c>
      <c r="D506" s="18" t="str">
        <f>Source!G413</f>
        <v>Регулировка смывного бачка</v>
      </c>
      <c r="E506" s="19" t="str">
        <f>Source!H413</f>
        <v>100 приборов</v>
      </c>
      <c r="F506" s="9">
        <f>Source!I413</f>
        <v>0.02</v>
      </c>
      <c r="G506" s="21"/>
      <c r="H506" s="20"/>
      <c r="I506" s="9"/>
      <c r="J506" s="9"/>
      <c r="K506" s="21"/>
      <c r="L506" s="21"/>
      <c r="Q506">
        <f>ROUND((Source!BZ413/100)*ROUND((Source!AF413*Source!AV413)*Source!I413, 2), 2)</f>
        <v>222.54</v>
      </c>
      <c r="R506">
        <f>Source!X413</f>
        <v>222.54</v>
      </c>
      <c r="S506">
        <f>ROUND((Source!CA413/100)*ROUND((Source!AF413*Source!AV413)*Source!I413, 2), 2)</f>
        <v>31.79</v>
      </c>
      <c r="T506">
        <f>Source!Y413</f>
        <v>31.79</v>
      </c>
      <c r="U506">
        <f>ROUND((175/100)*ROUND((Source!AE413*Source!AV413)*Source!I413, 2), 2)</f>
        <v>0</v>
      </c>
      <c r="V506">
        <f>ROUND((108/100)*ROUND(Source!CS413*Source!I413, 2), 2)</f>
        <v>0</v>
      </c>
    </row>
    <row r="507" spans="1:22" x14ac:dyDescent="0.2">
      <c r="D507" s="22" t="str">
        <f>"Объем: "&amp;Source!I413&amp;"=2*"&amp;"1/"&amp;"100"</f>
        <v>Объем: 0,02=2*1/100</v>
      </c>
    </row>
    <row r="508" spans="1:22" ht="14.25" x14ac:dyDescent="0.2">
      <c r="A508" s="18"/>
      <c r="B508" s="18"/>
      <c r="C508" s="18"/>
      <c r="D508" s="18" t="s">
        <v>461</v>
      </c>
      <c r="E508" s="19"/>
      <c r="F508" s="9"/>
      <c r="G508" s="21">
        <f>Source!AO413</f>
        <v>15896.11</v>
      </c>
      <c r="H508" s="20" t="str">
        <f>Source!DG413</f>
        <v/>
      </c>
      <c r="I508" s="9">
        <f>Source!AV413</f>
        <v>1</v>
      </c>
      <c r="J508" s="9">
        <f>IF(Source!BA413&lt;&gt; 0, Source!BA413, 1)</f>
        <v>1</v>
      </c>
      <c r="K508" s="21">
        <f>Source!S413</f>
        <v>317.92</v>
      </c>
      <c r="L508" s="21"/>
    </row>
    <row r="509" spans="1:22" ht="14.25" x14ac:dyDescent="0.2">
      <c r="A509" s="18"/>
      <c r="B509" s="18"/>
      <c r="C509" s="18"/>
      <c r="D509" s="18" t="s">
        <v>465</v>
      </c>
      <c r="E509" s="19" t="s">
        <v>466</v>
      </c>
      <c r="F509" s="9">
        <f>Source!AT413</f>
        <v>70</v>
      </c>
      <c r="G509" s="21"/>
      <c r="H509" s="20"/>
      <c r="I509" s="9"/>
      <c r="J509" s="9"/>
      <c r="K509" s="21">
        <f>SUM(R506:R508)</f>
        <v>222.54</v>
      </c>
      <c r="L509" s="21"/>
    </row>
    <row r="510" spans="1:22" ht="14.25" x14ac:dyDescent="0.2">
      <c r="A510" s="18"/>
      <c r="B510" s="18"/>
      <c r="C510" s="18"/>
      <c r="D510" s="18" t="s">
        <v>467</v>
      </c>
      <c r="E510" s="19" t="s">
        <v>466</v>
      </c>
      <c r="F510" s="9">
        <f>Source!AU413</f>
        <v>10</v>
      </c>
      <c r="G510" s="21"/>
      <c r="H510" s="20"/>
      <c r="I510" s="9"/>
      <c r="J510" s="9"/>
      <c r="K510" s="21">
        <f>SUM(T506:T509)</f>
        <v>31.79</v>
      </c>
      <c r="L510" s="21"/>
    </row>
    <row r="511" spans="1:22" ht="14.25" x14ac:dyDescent="0.2">
      <c r="A511" s="18"/>
      <c r="B511" s="18"/>
      <c r="C511" s="18"/>
      <c r="D511" s="18" t="s">
        <v>469</v>
      </c>
      <c r="E511" s="19" t="s">
        <v>470</v>
      </c>
      <c r="F511" s="9">
        <f>Source!AQ413</f>
        <v>26.7</v>
      </c>
      <c r="G511" s="21"/>
      <c r="H511" s="20" t="str">
        <f>Source!DI413</f>
        <v/>
      </c>
      <c r="I511" s="9">
        <f>Source!AV413</f>
        <v>1</v>
      </c>
      <c r="J511" s="9"/>
      <c r="K511" s="21"/>
      <c r="L511" s="21">
        <f>Source!U413</f>
        <v>0.53400000000000003</v>
      </c>
    </row>
    <row r="512" spans="1:22" ht="15" x14ac:dyDescent="0.25">
      <c r="A512" s="26"/>
      <c r="B512" s="26"/>
      <c r="C512" s="26"/>
      <c r="D512" s="26"/>
      <c r="E512" s="26"/>
      <c r="F512" s="26"/>
      <c r="G512" s="26"/>
      <c r="H512" s="26"/>
      <c r="I512" s="26"/>
      <c r="J512" s="53">
        <f>K508+K509+K510</f>
        <v>572.25</v>
      </c>
      <c r="K512" s="53"/>
      <c r="L512" s="27">
        <f>IF(Source!I413&lt;&gt;0, ROUND(J512/Source!I413, 2), 0)</f>
        <v>28612.5</v>
      </c>
      <c r="P512" s="24">
        <f>J512</f>
        <v>572.25</v>
      </c>
    </row>
    <row r="513" spans="1:22" ht="14.25" x14ac:dyDescent="0.2">
      <c r="A513" s="18">
        <v>50</v>
      </c>
      <c r="B513" s="18">
        <v>50</v>
      </c>
      <c r="C513" s="18" t="str">
        <f>Source!F414</f>
        <v>1.16-2203-1-1/1</v>
      </c>
      <c r="D513" s="18" t="str">
        <f>Source!G414</f>
        <v>Прочистка сифонов</v>
      </c>
      <c r="E513" s="19" t="str">
        <f>Source!H414</f>
        <v>100 шт.</v>
      </c>
      <c r="F513" s="9">
        <f>Source!I414</f>
        <v>0.02</v>
      </c>
      <c r="G513" s="21"/>
      <c r="H513" s="20"/>
      <c r="I513" s="9"/>
      <c r="J513" s="9"/>
      <c r="K513" s="21"/>
      <c r="L513" s="21"/>
      <c r="Q513">
        <f>ROUND((Source!BZ414/100)*ROUND((Source!AF414*Source!AV414)*Source!I414, 2), 2)</f>
        <v>198.83</v>
      </c>
      <c r="R513">
        <f>Source!X414</f>
        <v>198.83</v>
      </c>
      <c r="S513">
        <f>ROUND((Source!CA414/100)*ROUND((Source!AF414*Source!AV414)*Source!I414, 2), 2)</f>
        <v>28.4</v>
      </c>
      <c r="T513">
        <f>Source!Y414</f>
        <v>28.4</v>
      </c>
      <c r="U513">
        <f>ROUND((175/100)*ROUND((Source!AE414*Source!AV414)*Source!I414, 2), 2)</f>
        <v>0</v>
      </c>
      <c r="V513">
        <f>ROUND((108/100)*ROUND(Source!CS414*Source!I414, 2), 2)</f>
        <v>0</v>
      </c>
    </row>
    <row r="514" spans="1:22" x14ac:dyDescent="0.2">
      <c r="D514" s="22" t="str">
        <f>"Объем: "&amp;Source!I414&amp;"=2*"&amp;"1/"&amp;"100"</f>
        <v>Объем: 0,02=2*1/100</v>
      </c>
    </row>
    <row r="515" spans="1:22" ht="14.25" x14ac:dyDescent="0.2">
      <c r="A515" s="18"/>
      <c r="B515" s="18"/>
      <c r="C515" s="18"/>
      <c r="D515" s="18" t="s">
        <v>461</v>
      </c>
      <c r="E515" s="19"/>
      <c r="F515" s="9"/>
      <c r="G515" s="21">
        <f>Source!AO414</f>
        <v>14201.94</v>
      </c>
      <c r="H515" s="20" t="str">
        <f>Source!DG414</f>
        <v/>
      </c>
      <c r="I515" s="9">
        <f>Source!AV414</f>
        <v>1</v>
      </c>
      <c r="J515" s="9">
        <f>IF(Source!BA414&lt;&gt; 0, Source!BA414, 1)</f>
        <v>1</v>
      </c>
      <c r="K515" s="21">
        <f>Source!S414</f>
        <v>284.04000000000002</v>
      </c>
      <c r="L515" s="21"/>
    </row>
    <row r="516" spans="1:22" ht="14.25" x14ac:dyDescent="0.2">
      <c r="A516" s="18"/>
      <c r="B516" s="18"/>
      <c r="C516" s="18"/>
      <c r="D516" s="18" t="s">
        <v>464</v>
      </c>
      <c r="E516" s="19"/>
      <c r="F516" s="9"/>
      <c r="G516" s="21">
        <f>Source!AL414</f>
        <v>243.57</v>
      </c>
      <c r="H516" s="20" t="str">
        <f>Source!DD414</f>
        <v/>
      </c>
      <c r="I516" s="9">
        <f>Source!AW414</f>
        <v>1</v>
      </c>
      <c r="J516" s="9">
        <f>IF(Source!BC414&lt;&gt; 0, Source!BC414, 1)</f>
        <v>1</v>
      </c>
      <c r="K516" s="21">
        <f>Source!P414</f>
        <v>4.87</v>
      </c>
      <c r="L516" s="21"/>
    </row>
    <row r="517" spans="1:22" ht="14.25" x14ac:dyDescent="0.2">
      <c r="A517" s="18"/>
      <c r="B517" s="18"/>
      <c r="C517" s="18"/>
      <c r="D517" s="18" t="s">
        <v>465</v>
      </c>
      <c r="E517" s="19" t="s">
        <v>466</v>
      </c>
      <c r="F517" s="9">
        <f>Source!AT414</f>
        <v>70</v>
      </c>
      <c r="G517" s="21"/>
      <c r="H517" s="20"/>
      <c r="I517" s="9"/>
      <c r="J517" s="9"/>
      <c r="K517" s="21">
        <f>SUM(R513:R516)</f>
        <v>198.83</v>
      </c>
      <c r="L517" s="21"/>
    </row>
    <row r="518" spans="1:22" ht="14.25" x14ac:dyDescent="0.2">
      <c r="A518" s="18"/>
      <c r="B518" s="18"/>
      <c r="C518" s="18"/>
      <c r="D518" s="18" t="s">
        <v>467</v>
      </c>
      <c r="E518" s="19" t="s">
        <v>466</v>
      </c>
      <c r="F518" s="9">
        <f>Source!AU414</f>
        <v>10</v>
      </c>
      <c r="G518" s="21"/>
      <c r="H518" s="20"/>
      <c r="I518" s="9"/>
      <c r="J518" s="9"/>
      <c r="K518" s="21">
        <f>SUM(T513:T517)</f>
        <v>28.4</v>
      </c>
      <c r="L518" s="21"/>
    </row>
    <row r="519" spans="1:22" ht="14.25" x14ac:dyDescent="0.2">
      <c r="A519" s="18"/>
      <c r="B519" s="18"/>
      <c r="C519" s="18"/>
      <c r="D519" s="18" t="s">
        <v>469</v>
      </c>
      <c r="E519" s="19" t="s">
        <v>470</v>
      </c>
      <c r="F519" s="9">
        <f>Source!AQ414</f>
        <v>28.02</v>
      </c>
      <c r="G519" s="21"/>
      <c r="H519" s="20" t="str">
        <f>Source!DI414</f>
        <v/>
      </c>
      <c r="I519" s="9">
        <f>Source!AV414</f>
        <v>1</v>
      </c>
      <c r="J519" s="9"/>
      <c r="K519" s="21"/>
      <c r="L519" s="21">
        <f>Source!U414</f>
        <v>0.56040000000000001</v>
      </c>
    </row>
    <row r="520" spans="1:22" ht="15" x14ac:dyDescent="0.25">
      <c r="A520" s="26"/>
      <c r="B520" s="26"/>
      <c r="C520" s="26"/>
      <c r="D520" s="26"/>
      <c r="E520" s="26"/>
      <c r="F520" s="26"/>
      <c r="G520" s="26"/>
      <c r="H520" s="26"/>
      <c r="I520" s="26"/>
      <c r="J520" s="53">
        <f>K515+K516+K517+K518</f>
        <v>516.14</v>
      </c>
      <c r="K520" s="53"/>
      <c r="L520" s="27">
        <f>IF(Source!I414&lt;&gt;0, ROUND(J520/Source!I414, 2), 0)</f>
        <v>25807</v>
      </c>
      <c r="P520" s="24">
        <f>J520</f>
        <v>516.14</v>
      </c>
    </row>
    <row r="521" spans="1:22" ht="28.5" x14ac:dyDescent="0.2">
      <c r="A521" s="18">
        <v>51</v>
      </c>
      <c r="B521" s="18">
        <v>51</v>
      </c>
      <c r="C521" s="18" t="str">
        <f>Source!F417</f>
        <v>1.15-2303-4-1/1</v>
      </c>
      <c r="D521" s="18" t="str">
        <f>Source!G417</f>
        <v>Прочистка сетчатых фильтров грубой очистки воды диаметром до 25 мм</v>
      </c>
      <c r="E521" s="19" t="str">
        <f>Source!H417</f>
        <v>10 шт.</v>
      </c>
      <c r="F521" s="9">
        <f>Source!I417</f>
        <v>0.2</v>
      </c>
      <c r="G521" s="21"/>
      <c r="H521" s="20"/>
      <c r="I521" s="9"/>
      <c r="J521" s="9"/>
      <c r="K521" s="21"/>
      <c r="L521" s="21"/>
      <c r="Q521">
        <f>ROUND((Source!BZ417/100)*ROUND((Source!AF417*Source!AV417)*Source!I417, 2), 2)</f>
        <v>176.36</v>
      </c>
      <c r="R521">
        <f>Source!X417</f>
        <v>176.36</v>
      </c>
      <c r="S521">
        <f>ROUND((Source!CA417/100)*ROUND((Source!AF417*Source!AV417)*Source!I417, 2), 2)</f>
        <v>25.19</v>
      </c>
      <c r="T521">
        <f>Source!Y417</f>
        <v>25.19</v>
      </c>
      <c r="U521">
        <f>ROUND((175/100)*ROUND((Source!AE417*Source!AV417)*Source!I417, 2), 2)</f>
        <v>0</v>
      </c>
      <c r="V521">
        <f>ROUND((108/100)*ROUND(Source!CS417*Source!I417, 2), 2)</f>
        <v>0</v>
      </c>
    </row>
    <row r="522" spans="1:22" x14ac:dyDescent="0.2">
      <c r="D522" s="22" t="str">
        <f>"Объем: "&amp;Source!I417&amp;"=2*"&amp;"1/"&amp;"10"</f>
        <v>Объем: 0,2=2*1/10</v>
      </c>
    </row>
    <row r="523" spans="1:22" ht="14.25" x14ac:dyDescent="0.2">
      <c r="A523" s="18"/>
      <c r="B523" s="18"/>
      <c r="C523" s="18"/>
      <c r="D523" s="18" t="s">
        <v>461</v>
      </c>
      <c r="E523" s="19"/>
      <c r="F523" s="9"/>
      <c r="G523" s="21">
        <f>Source!AO417</f>
        <v>1259.68</v>
      </c>
      <c r="H523" s="20" t="str">
        <f>Source!DG417</f>
        <v/>
      </c>
      <c r="I523" s="9">
        <f>Source!AV417</f>
        <v>1</v>
      </c>
      <c r="J523" s="9">
        <f>IF(Source!BA417&lt;&gt; 0, Source!BA417, 1)</f>
        <v>1</v>
      </c>
      <c r="K523" s="21">
        <f>Source!S417</f>
        <v>251.94</v>
      </c>
      <c r="L523" s="21"/>
    </row>
    <row r="524" spans="1:22" ht="14.25" x14ac:dyDescent="0.2">
      <c r="A524" s="18"/>
      <c r="B524" s="18"/>
      <c r="C524" s="18"/>
      <c r="D524" s="18" t="s">
        <v>465</v>
      </c>
      <c r="E524" s="19" t="s">
        <v>466</v>
      </c>
      <c r="F524" s="9">
        <f>Source!AT417</f>
        <v>70</v>
      </c>
      <c r="G524" s="21"/>
      <c r="H524" s="20"/>
      <c r="I524" s="9"/>
      <c r="J524" s="9"/>
      <c r="K524" s="21">
        <f>SUM(R521:R523)</f>
        <v>176.36</v>
      </c>
      <c r="L524" s="21"/>
    </row>
    <row r="525" spans="1:22" ht="14.25" x14ac:dyDescent="0.2">
      <c r="A525" s="18"/>
      <c r="B525" s="18"/>
      <c r="C525" s="18"/>
      <c r="D525" s="18" t="s">
        <v>467</v>
      </c>
      <c r="E525" s="19" t="s">
        <v>466</v>
      </c>
      <c r="F525" s="9">
        <f>Source!AU417</f>
        <v>10</v>
      </c>
      <c r="G525" s="21"/>
      <c r="H525" s="20"/>
      <c r="I525" s="9"/>
      <c r="J525" s="9"/>
      <c r="K525" s="21">
        <f>SUM(T521:T524)</f>
        <v>25.19</v>
      </c>
      <c r="L525" s="21"/>
    </row>
    <row r="526" spans="1:22" ht="14.25" x14ac:dyDescent="0.2">
      <c r="A526" s="18"/>
      <c r="B526" s="18"/>
      <c r="C526" s="18"/>
      <c r="D526" s="18" t="s">
        <v>469</v>
      </c>
      <c r="E526" s="19" t="s">
        <v>470</v>
      </c>
      <c r="F526" s="9">
        <f>Source!AQ417</f>
        <v>2.04</v>
      </c>
      <c r="G526" s="21"/>
      <c r="H526" s="20" t="str">
        <f>Source!DI417</f>
        <v/>
      </c>
      <c r="I526" s="9">
        <f>Source!AV417</f>
        <v>1</v>
      </c>
      <c r="J526" s="9"/>
      <c r="K526" s="21"/>
      <c r="L526" s="21">
        <f>Source!U417</f>
        <v>0.40800000000000003</v>
      </c>
    </row>
    <row r="527" spans="1:22" ht="15" x14ac:dyDescent="0.25">
      <c r="A527" s="26"/>
      <c r="B527" s="26"/>
      <c r="C527" s="26"/>
      <c r="D527" s="26"/>
      <c r="E527" s="26"/>
      <c r="F527" s="26"/>
      <c r="G527" s="26"/>
      <c r="H527" s="26"/>
      <c r="I527" s="26"/>
      <c r="J527" s="53">
        <f>K523+K524+K525</f>
        <v>453.49</v>
      </c>
      <c r="K527" s="53"/>
      <c r="L527" s="27">
        <f>IF(Source!I417&lt;&gt;0, ROUND(J527/Source!I417, 2), 0)</f>
        <v>2267.4499999999998</v>
      </c>
      <c r="P527" s="24">
        <f>J527</f>
        <v>453.49</v>
      </c>
    </row>
    <row r="529" spans="1:22" ht="15" x14ac:dyDescent="0.25">
      <c r="A529" s="57" t="str">
        <f>CONCATENATE("Итого по подразделу: ",IF(Source!G426&lt;&gt;"Новый подраздел", Source!G426, ""))</f>
        <v>Итого по подразделу: Оборудование водоснабжения и водоотведения</v>
      </c>
      <c r="B529" s="57"/>
      <c r="C529" s="57"/>
      <c r="D529" s="57"/>
      <c r="E529" s="57"/>
      <c r="F529" s="57"/>
      <c r="G529" s="57"/>
      <c r="H529" s="57"/>
      <c r="I529" s="57"/>
      <c r="J529" s="55">
        <f>SUM(P473:P528)</f>
        <v>7265.55</v>
      </c>
      <c r="K529" s="56"/>
      <c r="L529" s="28"/>
    </row>
    <row r="532" spans="1:22" ht="16.5" x14ac:dyDescent="0.25">
      <c r="A532" s="54" t="str">
        <f>CONCATENATE("Подраздел: ",IF(Source!G456&lt;&gt;"Новый подраздел", Source!G456, ""))</f>
        <v>Подраздел: Техническое помещение общее на модуль</v>
      </c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</row>
    <row r="533" spans="1:22" ht="42.75" x14ac:dyDescent="0.2">
      <c r="A533" s="18">
        <v>52</v>
      </c>
      <c r="B533" s="18">
        <v>52</v>
      </c>
      <c r="C533" s="18" t="str">
        <f>Source!F460</f>
        <v>1.21-2303-24-1/1</v>
      </c>
      <c r="D533" s="18" t="str">
        <f>Source!G460</f>
        <v>Техническое обслуживание электроводонагревателей объемом до 80 литров</v>
      </c>
      <c r="E533" s="19" t="str">
        <f>Source!H460</f>
        <v>шт.</v>
      </c>
      <c r="F533" s="9">
        <f>Source!I460</f>
        <v>1</v>
      </c>
      <c r="G533" s="21"/>
      <c r="H533" s="20"/>
      <c r="I533" s="9"/>
      <c r="J533" s="9"/>
      <c r="K533" s="21"/>
      <c r="L533" s="21"/>
      <c r="Q533">
        <f>ROUND((Source!BZ460/100)*ROUND((Source!AF460*Source!AV460)*Source!I460, 2), 2)</f>
        <v>870.82</v>
      </c>
      <c r="R533">
        <f>Source!X460</f>
        <v>870.82</v>
      </c>
      <c r="S533">
        <f>ROUND((Source!CA460/100)*ROUND((Source!AF460*Source!AV460)*Source!I460, 2), 2)</f>
        <v>124.4</v>
      </c>
      <c r="T533">
        <f>Source!Y460</f>
        <v>124.4</v>
      </c>
      <c r="U533">
        <f>ROUND((175/100)*ROUND((Source!AE460*Source!AV460)*Source!I460, 2), 2)</f>
        <v>1565.85</v>
      </c>
      <c r="V533">
        <f>ROUND((108/100)*ROUND(Source!CS460*Source!I460, 2), 2)</f>
        <v>966.35</v>
      </c>
    </row>
    <row r="534" spans="1:22" x14ac:dyDescent="0.2">
      <c r="D534" s="22" t="str">
        <f>"Объем: "&amp;Source!I460&amp;"=1*"&amp;"1"</f>
        <v>Объем: 1=1*1</v>
      </c>
    </row>
    <row r="535" spans="1:22" ht="14.25" x14ac:dyDescent="0.2">
      <c r="A535" s="18"/>
      <c r="B535" s="18"/>
      <c r="C535" s="18"/>
      <c r="D535" s="18" t="s">
        <v>461</v>
      </c>
      <c r="E535" s="19"/>
      <c r="F535" s="9"/>
      <c r="G535" s="21">
        <f>Source!AO460</f>
        <v>1244.03</v>
      </c>
      <c r="H535" s="20" t="str">
        <f>Source!DG460</f>
        <v/>
      </c>
      <c r="I535" s="9">
        <f>Source!AV460</f>
        <v>1</v>
      </c>
      <c r="J535" s="9">
        <f>IF(Source!BA460&lt;&gt; 0, Source!BA460, 1)</f>
        <v>1</v>
      </c>
      <c r="K535" s="21">
        <f>Source!S460</f>
        <v>1244.03</v>
      </c>
      <c r="L535" s="21"/>
    </row>
    <row r="536" spans="1:22" ht="14.25" x14ac:dyDescent="0.2">
      <c r="A536" s="18"/>
      <c r="B536" s="18"/>
      <c r="C536" s="18"/>
      <c r="D536" s="18" t="s">
        <v>462</v>
      </c>
      <c r="E536" s="19"/>
      <c r="F536" s="9"/>
      <c r="G536" s="21">
        <f>Source!AM460</f>
        <v>1411.16</v>
      </c>
      <c r="H536" s="20" t="str">
        <f>Source!DE460</f>
        <v/>
      </c>
      <c r="I536" s="9">
        <f>Source!AV460</f>
        <v>1</v>
      </c>
      <c r="J536" s="9">
        <f>IF(Source!BB460&lt;&gt; 0, Source!BB460, 1)</f>
        <v>1</v>
      </c>
      <c r="K536" s="21">
        <f>Source!Q460</f>
        <v>1411.16</v>
      </c>
      <c r="L536" s="21"/>
    </row>
    <row r="537" spans="1:22" ht="14.25" x14ac:dyDescent="0.2">
      <c r="A537" s="18"/>
      <c r="B537" s="18"/>
      <c r="C537" s="18"/>
      <c r="D537" s="18" t="s">
        <v>463</v>
      </c>
      <c r="E537" s="19"/>
      <c r="F537" s="9"/>
      <c r="G537" s="21">
        <f>Source!AN460</f>
        <v>894.77</v>
      </c>
      <c r="H537" s="20" t="str">
        <f>Source!DF460</f>
        <v/>
      </c>
      <c r="I537" s="9">
        <f>Source!AV460</f>
        <v>1</v>
      </c>
      <c r="J537" s="9">
        <f>IF(Source!BS460&lt;&gt; 0, Source!BS460, 1)</f>
        <v>1</v>
      </c>
      <c r="K537" s="23">
        <f>Source!R460</f>
        <v>894.77</v>
      </c>
      <c r="L537" s="21"/>
    </row>
    <row r="538" spans="1:22" ht="14.25" x14ac:dyDescent="0.2">
      <c r="A538" s="18"/>
      <c r="B538" s="18"/>
      <c r="C538" s="18"/>
      <c r="D538" s="18" t="s">
        <v>464</v>
      </c>
      <c r="E538" s="19"/>
      <c r="F538" s="9"/>
      <c r="G538" s="21">
        <f>Source!AL460</f>
        <v>0.63</v>
      </c>
      <c r="H538" s="20" t="str">
        <f>Source!DD460</f>
        <v/>
      </c>
      <c r="I538" s="9">
        <f>Source!AW460</f>
        <v>1</v>
      </c>
      <c r="J538" s="9">
        <f>IF(Source!BC460&lt;&gt; 0, Source!BC460, 1)</f>
        <v>1</v>
      </c>
      <c r="K538" s="21">
        <f>Source!P460</f>
        <v>0.63</v>
      </c>
      <c r="L538" s="21"/>
    </row>
    <row r="539" spans="1:22" ht="14.25" x14ac:dyDescent="0.2">
      <c r="A539" s="18"/>
      <c r="B539" s="18"/>
      <c r="C539" s="18"/>
      <c r="D539" s="18" t="s">
        <v>465</v>
      </c>
      <c r="E539" s="19" t="s">
        <v>466</v>
      </c>
      <c r="F539" s="9">
        <f>Source!AT460</f>
        <v>70</v>
      </c>
      <c r="G539" s="21"/>
      <c r="H539" s="20"/>
      <c r="I539" s="9"/>
      <c r="J539" s="9"/>
      <c r="K539" s="21">
        <f>SUM(R533:R538)</f>
        <v>870.82</v>
      </c>
      <c r="L539" s="21"/>
    </row>
    <row r="540" spans="1:22" ht="14.25" x14ac:dyDescent="0.2">
      <c r="A540" s="18"/>
      <c r="B540" s="18"/>
      <c r="C540" s="18"/>
      <c r="D540" s="18" t="s">
        <v>467</v>
      </c>
      <c r="E540" s="19" t="s">
        <v>466</v>
      </c>
      <c r="F540" s="9">
        <f>Source!AU460</f>
        <v>10</v>
      </c>
      <c r="G540" s="21"/>
      <c r="H540" s="20"/>
      <c r="I540" s="9"/>
      <c r="J540" s="9"/>
      <c r="K540" s="21">
        <f>SUM(T533:T539)</f>
        <v>124.4</v>
      </c>
      <c r="L540" s="21"/>
    </row>
    <row r="541" spans="1:22" ht="14.25" x14ac:dyDescent="0.2">
      <c r="A541" s="18"/>
      <c r="B541" s="18"/>
      <c r="C541" s="18"/>
      <c r="D541" s="18" t="s">
        <v>468</v>
      </c>
      <c r="E541" s="19" t="s">
        <v>466</v>
      </c>
      <c r="F541" s="9">
        <f>108</f>
        <v>108</v>
      </c>
      <c r="G541" s="21"/>
      <c r="H541" s="20"/>
      <c r="I541" s="9"/>
      <c r="J541" s="9"/>
      <c r="K541" s="21">
        <f>SUM(V533:V540)</f>
        <v>966.35</v>
      </c>
      <c r="L541" s="21"/>
    </row>
    <row r="542" spans="1:22" ht="14.25" x14ac:dyDescent="0.2">
      <c r="A542" s="18"/>
      <c r="B542" s="18"/>
      <c r="C542" s="18"/>
      <c r="D542" s="18" t="s">
        <v>469</v>
      </c>
      <c r="E542" s="19" t="s">
        <v>470</v>
      </c>
      <c r="F542" s="9">
        <f>Source!AQ460</f>
        <v>1.75</v>
      </c>
      <c r="G542" s="21"/>
      <c r="H542" s="20" t="str">
        <f>Source!DI460</f>
        <v/>
      </c>
      <c r="I542" s="9">
        <f>Source!AV460</f>
        <v>1</v>
      </c>
      <c r="J542" s="9"/>
      <c r="K542" s="21"/>
      <c r="L542" s="21">
        <f>Source!U460</f>
        <v>1.75</v>
      </c>
    </row>
    <row r="543" spans="1:22" ht="15" x14ac:dyDescent="0.25">
      <c r="A543" s="26"/>
      <c r="B543" s="26"/>
      <c r="C543" s="26"/>
      <c r="D543" s="26"/>
      <c r="E543" s="26"/>
      <c r="F543" s="26"/>
      <c r="G543" s="26"/>
      <c r="H543" s="26"/>
      <c r="I543" s="26"/>
      <c r="J543" s="53">
        <f>K535+K536+K538+K539+K540+K541</f>
        <v>4617.3900000000003</v>
      </c>
      <c r="K543" s="53"/>
      <c r="L543" s="27">
        <f>IF(Source!I460&lt;&gt;0, ROUND(J543/Source!I460, 2), 0)</f>
        <v>4617.3900000000003</v>
      </c>
      <c r="P543" s="24">
        <f>J543</f>
        <v>4617.3900000000003</v>
      </c>
    </row>
    <row r="544" spans="1:22" ht="42.75" x14ac:dyDescent="0.2">
      <c r="A544" s="18">
        <v>53</v>
      </c>
      <c r="B544" s="18">
        <v>53</v>
      </c>
      <c r="C544" s="18" t="str">
        <f>Source!F461</f>
        <v>1.24-2103-16-1/1</v>
      </c>
      <c r="D544" s="18" t="str">
        <f>Source!G461</f>
        <v>Техническое обслуживание погружных насосов мощностью от 2,1 кВт до 16 кВт / прим.</v>
      </c>
      <c r="E544" s="19" t="str">
        <f>Source!H461</f>
        <v>шт.</v>
      </c>
      <c r="F544" s="9">
        <f>Source!I461</f>
        <v>1</v>
      </c>
      <c r="G544" s="21"/>
      <c r="H544" s="20"/>
      <c r="I544" s="9"/>
      <c r="J544" s="9"/>
      <c r="K544" s="21"/>
      <c r="L544" s="21"/>
      <c r="Q544">
        <f>ROUND((Source!BZ461/100)*ROUND((Source!AF461*Source!AV461)*Source!I461, 2), 2)</f>
        <v>2670.24</v>
      </c>
      <c r="R544">
        <f>Source!X461</f>
        <v>2670.24</v>
      </c>
      <c r="S544">
        <f>ROUND((Source!CA461/100)*ROUND((Source!AF461*Source!AV461)*Source!I461, 2), 2)</f>
        <v>381.46</v>
      </c>
      <c r="T544">
        <f>Source!Y461</f>
        <v>381.46</v>
      </c>
      <c r="U544">
        <f>ROUND((175/100)*ROUND((Source!AE461*Source!AV461)*Source!I461, 2), 2)</f>
        <v>1.98</v>
      </c>
      <c r="V544">
        <f>ROUND((108/100)*ROUND(Source!CS461*Source!I461, 2), 2)</f>
        <v>1.22</v>
      </c>
    </row>
    <row r="545" spans="1:22" x14ac:dyDescent="0.2">
      <c r="D545" s="22" t="str">
        <f>"Объем: "&amp;Source!I461&amp;"=1*"&amp;"1"</f>
        <v>Объем: 1=1*1</v>
      </c>
    </row>
    <row r="546" spans="1:22" ht="14.25" x14ac:dyDescent="0.2">
      <c r="A546" s="18"/>
      <c r="B546" s="18"/>
      <c r="C546" s="18"/>
      <c r="D546" s="18" t="s">
        <v>461</v>
      </c>
      <c r="E546" s="19"/>
      <c r="F546" s="9"/>
      <c r="G546" s="21">
        <f>Source!AO461</f>
        <v>3814.63</v>
      </c>
      <c r="H546" s="20" t="str">
        <f>Source!DG461</f>
        <v/>
      </c>
      <c r="I546" s="9">
        <f>Source!AV461</f>
        <v>1</v>
      </c>
      <c r="J546" s="9">
        <f>IF(Source!BA461&lt;&gt; 0, Source!BA461, 1)</f>
        <v>1</v>
      </c>
      <c r="K546" s="21">
        <f>Source!S461</f>
        <v>3814.63</v>
      </c>
      <c r="L546" s="21"/>
    </row>
    <row r="547" spans="1:22" ht="14.25" x14ac:dyDescent="0.2">
      <c r="A547" s="18"/>
      <c r="B547" s="18"/>
      <c r="C547" s="18"/>
      <c r="D547" s="18" t="s">
        <v>462</v>
      </c>
      <c r="E547" s="19"/>
      <c r="F547" s="9"/>
      <c r="G547" s="21">
        <f>Source!AM461</f>
        <v>26.53</v>
      </c>
      <c r="H547" s="20" t="str">
        <f>Source!DE461</f>
        <v/>
      </c>
      <c r="I547" s="9">
        <f>Source!AV461</f>
        <v>1</v>
      </c>
      <c r="J547" s="9">
        <f>IF(Source!BB461&lt;&gt; 0, Source!BB461, 1)</f>
        <v>1</v>
      </c>
      <c r="K547" s="21">
        <f>Source!Q461</f>
        <v>26.53</v>
      </c>
      <c r="L547" s="21"/>
    </row>
    <row r="548" spans="1:22" ht="14.25" x14ac:dyDescent="0.2">
      <c r="A548" s="18"/>
      <c r="B548" s="18"/>
      <c r="C548" s="18"/>
      <c r="D548" s="18" t="s">
        <v>463</v>
      </c>
      <c r="E548" s="19"/>
      <c r="F548" s="9"/>
      <c r="G548" s="21">
        <f>Source!AN461</f>
        <v>1.1299999999999999</v>
      </c>
      <c r="H548" s="20" t="str">
        <f>Source!DF461</f>
        <v/>
      </c>
      <c r="I548" s="9">
        <f>Source!AV461</f>
        <v>1</v>
      </c>
      <c r="J548" s="9">
        <f>IF(Source!BS461&lt;&gt; 0, Source!BS461, 1)</f>
        <v>1</v>
      </c>
      <c r="K548" s="23">
        <f>Source!R461</f>
        <v>1.1299999999999999</v>
      </c>
      <c r="L548" s="21"/>
    </row>
    <row r="549" spans="1:22" ht="14.25" x14ac:dyDescent="0.2">
      <c r="A549" s="18"/>
      <c r="B549" s="18"/>
      <c r="C549" s="18"/>
      <c r="D549" s="18" t="s">
        <v>464</v>
      </c>
      <c r="E549" s="19"/>
      <c r="F549" s="9"/>
      <c r="G549" s="21">
        <f>Source!AL461</f>
        <v>5881.34</v>
      </c>
      <c r="H549" s="20" t="str">
        <f>Source!DD461</f>
        <v/>
      </c>
      <c r="I549" s="9">
        <f>Source!AW461</f>
        <v>1</v>
      </c>
      <c r="J549" s="9">
        <f>IF(Source!BC461&lt;&gt; 0, Source!BC461, 1)</f>
        <v>1</v>
      </c>
      <c r="K549" s="21">
        <f>Source!P461</f>
        <v>5881.34</v>
      </c>
      <c r="L549" s="21"/>
    </row>
    <row r="550" spans="1:22" ht="14.25" x14ac:dyDescent="0.2">
      <c r="A550" s="18"/>
      <c r="B550" s="18"/>
      <c r="C550" s="18"/>
      <c r="D550" s="18" t="s">
        <v>465</v>
      </c>
      <c r="E550" s="19" t="s">
        <v>466</v>
      </c>
      <c r="F550" s="9">
        <f>Source!AT461</f>
        <v>70</v>
      </c>
      <c r="G550" s="21"/>
      <c r="H550" s="20"/>
      <c r="I550" s="9"/>
      <c r="J550" s="9"/>
      <c r="K550" s="21">
        <f>SUM(R544:R549)</f>
        <v>2670.24</v>
      </c>
      <c r="L550" s="21"/>
    </row>
    <row r="551" spans="1:22" ht="14.25" x14ac:dyDescent="0.2">
      <c r="A551" s="18"/>
      <c r="B551" s="18"/>
      <c r="C551" s="18"/>
      <c r="D551" s="18" t="s">
        <v>467</v>
      </c>
      <c r="E551" s="19" t="s">
        <v>466</v>
      </c>
      <c r="F551" s="9">
        <f>Source!AU461</f>
        <v>10</v>
      </c>
      <c r="G551" s="21"/>
      <c r="H551" s="20"/>
      <c r="I551" s="9"/>
      <c r="J551" s="9"/>
      <c r="K551" s="21">
        <f>SUM(T544:T550)</f>
        <v>381.46</v>
      </c>
      <c r="L551" s="21"/>
    </row>
    <row r="552" spans="1:22" ht="14.25" x14ac:dyDescent="0.2">
      <c r="A552" s="18"/>
      <c r="B552" s="18"/>
      <c r="C552" s="18"/>
      <c r="D552" s="18" t="s">
        <v>468</v>
      </c>
      <c r="E552" s="19" t="s">
        <v>466</v>
      </c>
      <c r="F552" s="9">
        <f>108</f>
        <v>108</v>
      </c>
      <c r="G552" s="21"/>
      <c r="H552" s="20"/>
      <c r="I552" s="9"/>
      <c r="J552" s="9"/>
      <c r="K552" s="21">
        <f>SUM(V544:V551)</f>
        <v>1.22</v>
      </c>
      <c r="L552" s="21"/>
    </row>
    <row r="553" spans="1:22" ht="14.25" x14ac:dyDescent="0.2">
      <c r="A553" s="18"/>
      <c r="B553" s="18"/>
      <c r="C553" s="18"/>
      <c r="D553" s="18" t="s">
        <v>469</v>
      </c>
      <c r="E553" s="19" t="s">
        <v>470</v>
      </c>
      <c r="F553" s="9">
        <f>Source!AQ461</f>
        <v>5.7</v>
      </c>
      <c r="G553" s="21"/>
      <c r="H553" s="20" t="str">
        <f>Source!DI461</f>
        <v/>
      </c>
      <c r="I553" s="9">
        <f>Source!AV461</f>
        <v>1</v>
      </c>
      <c r="J553" s="9"/>
      <c r="K553" s="21"/>
      <c r="L553" s="21">
        <f>Source!U461</f>
        <v>5.7</v>
      </c>
    </row>
    <row r="554" spans="1:22" ht="15" x14ac:dyDescent="0.25">
      <c r="A554" s="26"/>
      <c r="B554" s="26"/>
      <c r="C554" s="26"/>
      <c r="D554" s="26"/>
      <c r="E554" s="26"/>
      <c r="F554" s="26"/>
      <c r="G554" s="26"/>
      <c r="H554" s="26"/>
      <c r="I554" s="26"/>
      <c r="J554" s="53">
        <f>K546+K547+K549+K550+K551+K552</f>
        <v>12775.419999999998</v>
      </c>
      <c r="K554" s="53"/>
      <c r="L554" s="27">
        <f>IF(Source!I461&lt;&gt;0, ROUND(J554/Source!I461, 2), 0)</f>
        <v>12775.42</v>
      </c>
      <c r="P554" s="24">
        <f>J554</f>
        <v>12775.419999999998</v>
      </c>
    </row>
    <row r="555" spans="1:22" ht="42.75" x14ac:dyDescent="0.2">
      <c r="A555" s="18">
        <v>54</v>
      </c>
      <c r="B555" s="18">
        <v>54</v>
      </c>
      <c r="C555" s="18" t="str">
        <f>Source!F464</f>
        <v>1.17-2103-14-1/1</v>
      </c>
      <c r="D555" s="18" t="str">
        <f>Source!G464</f>
        <v>Техническое обслуживание мембранного расширительного бака объемом 100 л</v>
      </c>
      <c r="E555" s="19" t="str">
        <f>Source!H464</f>
        <v>шт.</v>
      </c>
      <c r="F555" s="9">
        <f>Source!I464</f>
        <v>1</v>
      </c>
      <c r="G555" s="21"/>
      <c r="H555" s="20"/>
      <c r="I555" s="9"/>
      <c r="J555" s="9"/>
      <c r="K555" s="21"/>
      <c r="L555" s="21"/>
      <c r="Q555">
        <f>ROUND((Source!BZ464/100)*ROUND((Source!AF464*Source!AV464)*Source!I464, 2), 2)</f>
        <v>250.7</v>
      </c>
      <c r="R555">
        <f>Source!X464</f>
        <v>250.7</v>
      </c>
      <c r="S555">
        <f>ROUND((Source!CA464/100)*ROUND((Source!AF464*Source!AV464)*Source!I464, 2), 2)</f>
        <v>35.81</v>
      </c>
      <c r="T555">
        <f>Source!Y464</f>
        <v>35.81</v>
      </c>
      <c r="U555">
        <f>ROUND((175/100)*ROUND((Source!AE464*Source!AV464)*Source!I464, 2), 2)</f>
        <v>0</v>
      </c>
      <c r="V555">
        <f>ROUND((108/100)*ROUND(Source!CS464*Source!I464, 2), 2)</f>
        <v>0</v>
      </c>
    </row>
    <row r="556" spans="1:22" ht="14.25" x14ac:dyDescent="0.2">
      <c r="A556" s="18"/>
      <c r="B556" s="18"/>
      <c r="C556" s="18"/>
      <c r="D556" s="18" t="s">
        <v>461</v>
      </c>
      <c r="E556" s="19"/>
      <c r="F556" s="9"/>
      <c r="G556" s="21">
        <f>Source!AO464</f>
        <v>358.14</v>
      </c>
      <c r="H556" s="20" t="str">
        <f>Source!DG464</f>
        <v/>
      </c>
      <c r="I556" s="9">
        <f>Source!AV464</f>
        <v>1</v>
      </c>
      <c r="J556" s="9">
        <f>IF(Source!BA464&lt;&gt; 0, Source!BA464, 1)</f>
        <v>1</v>
      </c>
      <c r="K556" s="21">
        <f>Source!S464</f>
        <v>358.14</v>
      </c>
      <c r="L556" s="21"/>
    </row>
    <row r="557" spans="1:22" ht="14.25" x14ac:dyDescent="0.2">
      <c r="A557" s="18"/>
      <c r="B557" s="18"/>
      <c r="C557" s="18"/>
      <c r="D557" s="18" t="s">
        <v>464</v>
      </c>
      <c r="E557" s="19"/>
      <c r="F557" s="9"/>
      <c r="G557" s="21">
        <f>Source!AL464</f>
        <v>0.63</v>
      </c>
      <c r="H557" s="20" t="str">
        <f>Source!DD464</f>
        <v/>
      </c>
      <c r="I557" s="9">
        <f>Source!AW464</f>
        <v>1</v>
      </c>
      <c r="J557" s="9">
        <f>IF(Source!BC464&lt;&gt; 0, Source!BC464, 1)</f>
        <v>1</v>
      </c>
      <c r="K557" s="21">
        <f>Source!P464</f>
        <v>0.63</v>
      </c>
      <c r="L557" s="21"/>
    </row>
    <row r="558" spans="1:22" ht="14.25" x14ac:dyDescent="0.2">
      <c r="A558" s="18"/>
      <c r="B558" s="18"/>
      <c r="C558" s="18"/>
      <c r="D558" s="18" t="s">
        <v>465</v>
      </c>
      <c r="E558" s="19" t="s">
        <v>466</v>
      </c>
      <c r="F558" s="9">
        <f>Source!AT464</f>
        <v>70</v>
      </c>
      <c r="G558" s="21"/>
      <c r="H558" s="20"/>
      <c r="I558" s="9"/>
      <c r="J558" s="9"/>
      <c r="K558" s="21">
        <f>SUM(R555:R557)</f>
        <v>250.7</v>
      </c>
      <c r="L558" s="21"/>
    </row>
    <row r="559" spans="1:22" ht="14.25" x14ac:dyDescent="0.2">
      <c r="A559" s="18"/>
      <c r="B559" s="18"/>
      <c r="C559" s="18"/>
      <c r="D559" s="18" t="s">
        <v>467</v>
      </c>
      <c r="E559" s="19" t="s">
        <v>466</v>
      </c>
      <c r="F559" s="9">
        <f>Source!AU464</f>
        <v>10</v>
      </c>
      <c r="G559" s="21"/>
      <c r="H559" s="20"/>
      <c r="I559" s="9"/>
      <c r="J559" s="9"/>
      <c r="K559" s="21">
        <f>SUM(T555:T558)</f>
        <v>35.81</v>
      </c>
      <c r="L559" s="21"/>
    </row>
    <row r="560" spans="1:22" ht="14.25" x14ac:dyDescent="0.2">
      <c r="A560" s="18"/>
      <c r="B560" s="18"/>
      <c r="C560" s="18"/>
      <c r="D560" s="18" t="s">
        <v>469</v>
      </c>
      <c r="E560" s="19" t="s">
        <v>470</v>
      </c>
      <c r="F560" s="9">
        <f>Source!AQ464</f>
        <v>0.57999999999999996</v>
      </c>
      <c r="G560" s="21"/>
      <c r="H560" s="20" t="str">
        <f>Source!DI464</f>
        <v/>
      </c>
      <c r="I560" s="9">
        <f>Source!AV464</f>
        <v>1</v>
      </c>
      <c r="J560" s="9"/>
      <c r="K560" s="21"/>
      <c r="L560" s="21">
        <f>Source!U464</f>
        <v>0.57999999999999996</v>
      </c>
    </row>
    <row r="561" spans="1:22" ht="15" x14ac:dyDescent="0.25">
      <c r="A561" s="26"/>
      <c r="B561" s="26"/>
      <c r="C561" s="26"/>
      <c r="D561" s="26"/>
      <c r="E561" s="26"/>
      <c r="F561" s="26"/>
      <c r="G561" s="26"/>
      <c r="H561" s="26"/>
      <c r="I561" s="26"/>
      <c r="J561" s="53">
        <f>K556+K557+K558+K559</f>
        <v>645.28</v>
      </c>
      <c r="K561" s="53"/>
      <c r="L561" s="27">
        <f>IF(Source!I464&lt;&gt;0, ROUND(J561/Source!I464, 2), 0)</f>
        <v>645.28</v>
      </c>
      <c r="P561" s="24">
        <f>J561</f>
        <v>645.28</v>
      </c>
    </row>
    <row r="562" spans="1:22" ht="57" x14ac:dyDescent="0.2">
      <c r="A562" s="18">
        <v>55</v>
      </c>
      <c r="B562" s="18">
        <v>55</v>
      </c>
      <c r="C562" s="18" t="str">
        <f>Source!F465</f>
        <v>1.23-2103-41-1/1</v>
      </c>
      <c r="D562" s="18" t="str">
        <f>Source!G465</f>
        <v>Техническое обслуживание регулирующего клапана / Кран шаровой ПВХ 1/2 для подключения гибкой подводки</v>
      </c>
      <c r="E562" s="19" t="str">
        <f>Source!H465</f>
        <v>шт.</v>
      </c>
      <c r="F562" s="9">
        <f>Source!I465</f>
        <v>6</v>
      </c>
      <c r="G562" s="21"/>
      <c r="H562" s="20"/>
      <c r="I562" s="9"/>
      <c r="J562" s="9"/>
      <c r="K562" s="21"/>
      <c r="L562" s="21"/>
      <c r="Q562">
        <f>ROUND((Source!BZ465/100)*ROUND((Source!AF465*Source!AV465)*Source!I465, 2), 2)</f>
        <v>873.6</v>
      </c>
      <c r="R562">
        <f>Source!X465</f>
        <v>873.6</v>
      </c>
      <c r="S562">
        <f>ROUND((Source!CA465/100)*ROUND((Source!AF465*Source!AV465)*Source!I465, 2), 2)</f>
        <v>124.8</v>
      </c>
      <c r="T562">
        <f>Source!Y465</f>
        <v>124.8</v>
      </c>
      <c r="U562">
        <f>ROUND((175/100)*ROUND((Source!AE465*Source!AV465)*Source!I465, 2), 2)</f>
        <v>520.49</v>
      </c>
      <c r="V562">
        <f>ROUND((108/100)*ROUND(Source!CS465*Source!I465, 2), 2)</f>
        <v>321.20999999999998</v>
      </c>
    </row>
    <row r="563" spans="1:22" x14ac:dyDescent="0.2">
      <c r="D563" s="22" t="str">
        <f>"Объем: "&amp;Source!I465&amp;"=6*"&amp;"1"</f>
        <v>Объем: 6=6*1</v>
      </c>
    </row>
    <row r="564" spans="1:22" ht="14.25" x14ac:dyDescent="0.2">
      <c r="A564" s="18"/>
      <c r="B564" s="18"/>
      <c r="C564" s="18"/>
      <c r="D564" s="18" t="s">
        <v>461</v>
      </c>
      <c r="E564" s="19"/>
      <c r="F564" s="9"/>
      <c r="G564" s="21">
        <f>Source!AO465</f>
        <v>208</v>
      </c>
      <c r="H564" s="20" t="str">
        <f>Source!DG465</f>
        <v/>
      </c>
      <c r="I564" s="9">
        <f>Source!AV465</f>
        <v>1</v>
      </c>
      <c r="J564" s="9">
        <f>IF(Source!BA465&lt;&gt; 0, Source!BA465, 1)</f>
        <v>1</v>
      </c>
      <c r="K564" s="21">
        <f>Source!S465</f>
        <v>1248</v>
      </c>
      <c r="L564" s="21"/>
    </row>
    <row r="565" spans="1:22" ht="14.25" x14ac:dyDescent="0.2">
      <c r="A565" s="18"/>
      <c r="B565" s="18"/>
      <c r="C565" s="18"/>
      <c r="D565" s="18" t="s">
        <v>462</v>
      </c>
      <c r="E565" s="19"/>
      <c r="F565" s="9"/>
      <c r="G565" s="21">
        <f>Source!AM465</f>
        <v>78.180000000000007</v>
      </c>
      <c r="H565" s="20" t="str">
        <f>Source!DE465</f>
        <v/>
      </c>
      <c r="I565" s="9">
        <f>Source!AV465</f>
        <v>1</v>
      </c>
      <c r="J565" s="9">
        <f>IF(Source!BB465&lt;&gt; 0, Source!BB465, 1)</f>
        <v>1</v>
      </c>
      <c r="K565" s="21">
        <f>Source!Q465</f>
        <v>469.08</v>
      </c>
      <c r="L565" s="21"/>
    </row>
    <row r="566" spans="1:22" ht="14.25" x14ac:dyDescent="0.2">
      <c r="A566" s="18"/>
      <c r="B566" s="18"/>
      <c r="C566" s="18"/>
      <c r="D566" s="18" t="s">
        <v>463</v>
      </c>
      <c r="E566" s="19"/>
      <c r="F566" s="9"/>
      <c r="G566" s="21">
        <f>Source!AN465</f>
        <v>49.57</v>
      </c>
      <c r="H566" s="20" t="str">
        <f>Source!DF465</f>
        <v/>
      </c>
      <c r="I566" s="9">
        <f>Source!AV465</f>
        <v>1</v>
      </c>
      <c r="J566" s="9">
        <f>IF(Source!BS465&lt;&gt; 0, Source!BS465, 1)</f>
        <v>1</v>
      </c>
      <c r="K566" s="23">
        <f>Source!R465</f>
        <v>297.42</v>
      </c>
      <c r="L566" s="21"/>
    </row>
    <row r="567" spans="1:22" ht="14.25" x14ac:dyDescent="0.2">
      <c r="A567" s="18"/>
      <c r="B567" s="18"/>
      <c r="C567" s="18"/>
      <c r="D567" s="18" t="s">
        <v>465</v>
      </c>
      <c r="E567" s="19" t="s">
        <v>466</v>
      </c>
      <c r="F567" s="9">
        <f>Source!AT465</f>
        <v>70</v>
      </c>
      <c r="G567" s="21"/>
      <c r="H567" s="20"/>
      <c r="I567" s="9"/>
      <c r="J567" s="9"/>
      <c r="K567" s="21">
        <f>SUM(R562:R566)</f>
        <v>873.6</v>
      </c>
      <c r="L567" s="21"/>
    </row>
    <row r="568" spans="1:22" ht="14.25" x14ac:dyDescent="0.2">
      <c r="A568" s="18"/>
      <c r="B568" s="18"/>
      <c r="C568" s="18"/>
      <c r="D568" s="18" t="s">
        <v>467</v>
      </c>
      <c r="E568" s="19" t="s">
        <v>466</v>
      </c>
      <c r="F568" s="9">
        <f>Source!AU465</f>
        <v>10</v>
      </c>
      <c r="G568" s="21"/>
      <c r="H568" s="20"/>
      <c r="I568" s="9"/>
      <c r="J568" s="9"/>
      <c r="K568" s="21">
        <f>SUM(T562:T567)</f>
        <v>124.8</v>
      </c>
      <c r="L568" s="21"/>
    </row>
    <row r="569" spans="1:22" ht="14.25" x14ac:dyDescent="0.2">
      <c r="A569" s="18"/>
      <c r="B569" s="18"/>
      <c r="C569" s="18"/>
      <c r="D569" s="18" t="s">
        <v>468</v>
      </c>
      <c r="E569" s="19" t="s">
        <v>466</v>
      </c>
      <c r="F569" s="9">
        <f>108</f>
        <v>108</v>
      </c>
      <c r="G569" s="21"/>
      <c r="H569" s="20"/>
      <c r="I569" s="9"/>
      <c r="J569" s="9"/>
      <c r="K569" s="21">
        <f>SUM(V562:V568)</f>
        <v>321.20999999999998</v>
      </c>
      <c r="L569" s="21"/>
    </row>
    <row r="570" spans="1:22" ht="14.25" x14ac:dyDescent="0.2">
      <c r="A570" s="18"/>
      <c r="B570" s="18"/>
      <c r="C570" s="18"/>
      <c r="D570" s="18" t="s">
        <v>469</v>
      </c>
      <c r="E570" s="19" t="s">
        <v>470</v>
      </c>
      <c r="F570" s="9">
        <f>Source!AQ465</f>
        <v>0.37</v>
      </c>
      <c r="G570" s="21"/>
      <c r="H570" s="20" t="str">
        <f>Source!DI465</f>
        <v/>
      </c>
      <c r="I570" s="9">
        <f>Source!AV465</f>
        <v>1</v>
      </c>
      <c r="J570" s="9"/>
      <c r="K570" s="21"/>
      <c r="L570" s="21">
        <f>Source!U465</f>
        <v>2.2199999999999998</v>
      </c>
    </row>
    <row r="571" spans="1:22" ht="15" x14ac:dyDescent="0.25">
      <c r="A571" s="26"/>
      <c r="B571" s="26"/>
      <c r="C571" s="26"/>
      <c r="D571" s="26"/>
      <c r="E571" s="26"/>
      <c r="F571" s="26"/>
      <c r="G571" s="26"/>
      <c r="H571" s="26"/>
      <c r="I571" s="26"/>
      <c r="J571" s="53">
        <f>K564+K565+K567+K568+K569</f>
        <v>3036.69</v>
      </c>
      <c r="K571" s="53"/>
      <c r="L571" s="27">
        <f>IF(Source!I465&lt;&gt;0, ROUND(J571/Source!I465, 2), 0)</f>
        <v>506.12</v>
      </c>
      <c r="P571" s="24">
        <f>J571</f>
        <v>3036.69</v>
      </c>
    </row>
    <row r="572" spans="1:22" ht="57" x14ac:dyDescent="0.2">
      <c r="A572" s="18">
        <v>56</v>
      </c>
      <c r="B572" s="18">
        <v>56</v>
      </c>
      <c r="C572" s="18" t="str">
        <f>Source!F467</f>
        <v>1.16-2303-2-1/1</v>
      </c>
      <c r="D572" s="18" t="str">
        <f>Source!G467</f>
        <v>Техническое обслуживание насоса для сточных вод переносного с полуоткрытым рабочим колесом Грундфос EF / сололифт</v>
      </c>
      <c r="E572" s="19" t="str">
        <f>Source!H467</f>
        <v>шт.</v>
      </c>
      <c r="F572" s="9">
        <f>Source!I467</f>
        <v>2</v>
      </c>
      <c r="G572" s="21"/>
      <c r="H572" s="20"/>
      <c r="I572" s="9"/>
      <c r="J572" s="9"/>
      <c r="K572" s="21"/>
      <c r="L572" s="21"/>
      <c r="Q572">
        <f>ROUND((Source!BZ467/100)*ROUND((Source!AF467*Source!AV467)*Source!I467, 2), 2)</f>
        <v>4645.0200000000004</v>
      </c>
      <c r="R572">
        <f>Source!X467</f>
        <v>4645.0200000000004</v>
      </c>
      <c r="S572">
        <f>ROUND((Source!CA467/100)*ROUND((Source!AF467*Source!AV467)*Source!I467, 2), 2)</f>
        <v>663.57</v>
      </c>
      <c r="T572">
        <f>Source!Y467</f>
        <v>663.57</v>
      </c>
      <c r="U572">
        <f>ROUND((175/100)*ROUND((Source!AE467*Source!AV467)*Source!I467, 2), 2)</f>
        <v>0</v>
      </c>
      <c r="V572">
        <f>ROUND((108/100)*ROUND(Source!CS467*Source!I467, 2), 2)</f>
        <v>0</v>
      </c>
    </row>
    <row r="573" spans="1:22" ht="14.25" x14ac:dyDescent="0.2">
      <c r="A573" s="18"/>
      <c r="B573" s="18"/>
      <c r="C573" s="18"/>
      <c r="D573" s="18" t="s">
        <v>461</v>
      </c>
      <c r="E573" s="19"/>
      <c r="F573" s="9"/>
      <c r="G573" s="21">
        <f>Source!AO467</f>
        <v>3317.87</v>
      </c>
      <c r="H573" s="20" t="str">
        <f>Source!DG467</f>
        <v/>
      </c>
      <c r="I573" s="9">
        <f>Source!AV467</f>
        <v>1</v>
      </c>
      <c r="J573" s="9">
        <f>IF(Source!BA467&lt;&gt; 0, Source!BA467, 1)</f>
        <v>1</v>
      </c>
      <c r="K573" s="21">
        <f>Source!S467</f>
        <v>6635.74</v>
      </c>
      <c r="L573" s="21"/>
    </row>
    <row r="574" spans="1:22" ht="14.25" x14ac:dyDescent="0.2">
      <c r="A574" s="18"/>
      <c r="B574" s="18"/>
      <c r="C574" s="18"/>
      <c r="D574" s="18" t="s">
        <v>464</v>
      </c>
      <c r="E574" s="19"/>
      <c r="F574" s="9"/>
      <c r="G574" s="21">
        <f>Source!AL467</f>
        <v>131.15</v>
      </c>
      <c r="H574" s="20" t="str">
        <f>Source!DD467</f>
        <v/>
      </c>
      <c r="I574" s="9">
        <f>Source!AW467</f>
        <v>1</v>
      </c>
      <c r="J574" s="9">
        <f>IF(Source!BC467&lt;&gt; 0, Source!BC467, 1)</f>
        <v>1</v>
      </c>
      <c r="K574" s="21">
        <f>Source!P467</f>
        <v>262.3</v>
      </c>
      <c r="L574" s="21"/>
    </row>
    <row r="575" spans="1:22" ht="14.25" x14ac:dyDescent="0.2">
      <c r="A575" s="18"/>
      <c r="B575" s="18"/>
      <c r="C575" s="18"/>
      <c r="D575" s="18" t="s">
        <v>465</v>
      </c>
      <c r="E575" s="19" t="s">
        <v>466</v>
      </c>
      <c r="F575" s="9">
        <f>Source!AT467</f>
        <v>70</v>
      </c>
      <c r="G575" s="21"/>
      <c r="H575" s="20"/>
      <c r="I575" s="9"/>
      <c r="J575" s="9"/>
      <c r="K575" s="21">
        <f>SUM(R572:R574)</f>
        <v>4645.0200000000004</v>
      </c>
      <c r="L575" s="21"/>
    </row>
    <row r="576" spans="1:22" ht="14.25" x14ac:dyDescent="0.2">
      <c r="A576" s="18"/>
      <c r="B576" s="18"/>
      <c r="C576" s="18"/>
      <c r="D576" s="18" t="s">
        <v>467</v>
      </c>
      <c r="E576" s="19" t="s">
        <v>466</v>
      </c>
      <c r="F576" s="9">
        <f>Source!AU467</f>
        <v>10</v>
      </c>
      <c r="G576" s="21"/>
      <c r="H576" s="20"/>
      <c r="I576" s="9"/>
      <c r="J576" s="9"/>
      <c r="K576" s="21">
        <f>SUM(T572:T575)</f>
        <v>663.57</v>
      </c>
      <c r="L576" s="21"/>
    </row>
    <row r="577" spans="1:22" ht="14.25" x14ac:dyDescent="0.2">
      <c r="A577" s="18"/>
      <c r="B577" s="18"/>
      <c r="C577" s="18"/>
      <c r="D577" s="18" t="s">
        <v>469</v>
      </c>
      <c r="E577" s="19" t="s">
        <v>470</v>
      </c>
      <c r="F577" s="9">
        <f>Source!AQ467</f>
        <v>5</v>
      </c>
      <c r="G577" s="21"/>
      <c r="H577" s="20" t="str">
        <f>Source!DI467</f>
        <v/>
      </c>
      <c r="I577" s="9">
        <f>Source!AV467</f>
        <v>1</v>
      </c>
      <c r="J577" s="9"/>
      <c r="K577" s="21"/>
      <c r="L577" s="21">
        <f>Source!U467</f>
        <v>10</v>
      </c>
    </row>
    <row r="578" spans="1:22" ht="15" x14ac:dyDescent="0.25">
      <c r="A578" s="26"/>
      <c r="B578" s="26"/>
      <c r="C578" s="26"/>
      <c r="D578" s="26"/>
      <c r="E578" s="26"/>
      <c r="F578" s="26"/>
      <c r="G578" s="26"/>
      <c r="H578" s="26"/>
      <c r="I578" s="26"/>
      <c r="J578" s="53">
        <f>K573+K574+K575+K576</f>
        <v>12206.630000000001</v>
      </c>
      <c r="K578" s="53"/>
      <c r="L578" s="27">
        <f>IF(Source!I467&lt;&gt;0, ROUND(J578/Source!I467, 2), 0)</f>
        <v>6103.32</v>
      </c>
      <c r="P578" s="24">
        <f>J578</f>
        <v>12206.630000000001</v>
      </c>
    </row>
    <row r="580" spans="1:22" ht="15" x14ac:dyDescent="0.25">
      <c r="A580" s="57" t="str">
        <f>CONCATENATE("Итого по подразделу: ",IF(Source!G469&lt;&gt;"Новый подраздел", Source!G469, ""))</f>
        <v>Итого по подразделу: Техническое помещение общее на модуль</v>
      </c>
      <c r="B580" s="57"/>
      <c r="C580" s="57"/>
      <c r="D580" s="57"/>
      <c r="E580" s="57"/>
      <c r="F580" s="57"/>
      <c r="G580" s="57"/>
      <c r="H580" s="57"/>
      <c r="I580" s="57"/>
      <c r="J580" s="55">
        <f>SUM(P532:P579)</f>
        <v>33281.409999999996</v>
      </c>
      <c r="K580" s="56"/>
      <c r="L580" s="28"/>
    </row>
    <row r="583" spans="1:22" ht="16.5" x14ac:dyDescent="0.25">
      <c r="A583" s="54" t="str">
        <f>CONCATENATE("Подраздел: ",IF(Source!G499&lt;&gt;"Новый подраздел", Source!G499, ""))</f>
        <v>Подраздел: Электрооборудование</v>
      </c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</row>
    <row r="584" spans="1:22" ht="71.25" x14ac:dyDescent="0.2">
      <c r="A584" s="18">
        <v>57</v>
      </c>
      <c r="B584" s="18">
        <v>57</v>
      </c>
      <c r="C584" s="18" t="str">
        <f>Source!F503</f>
        <v>1.21-2203-2-5/1</v>
      </c>
      <c r="D584" s="18" t="str">
        <f>Source!G503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E584" s="19" t="str">
        <f>Source!H503</f>
        <v>шт.</v>
      </c>
      <c r="F584" s="9">
        <f>Source!I503</f>
        <v>1</v>
      </c>
      <c r="G584" s="21"/>
      <c r="H584" s="20"/>
      <c r="I584" s="9"/>
      <c r="J584" s="9"/>
      <c r="K584" s="21"/>
      <c r="L584" s="21"/>
      <c r="Q584">
        <f>ROUND((Source!BZ503/100)*ROUND((Source!AF503*Source!AV503)*Source!I503, 2), 2)</f>
        <v>10373.83</v>
      </c>
      <c r="R584">
        <f>Source!X503</f>
        <v>10373.83</v>
      </c>
      <c r="S584">
        <f>ROUND((Source!CA503/100)*ROUND((Source!AF503*Source!AV503)*Source!I503, 2), 2)</f>
        <v>1481.98</v>
      </c>
      <c r="T584">
        <f>Source!Y503</f>
        <v>1481.98</v>
      </c>
      <c r="U584">
        <f>ROUND((175/100)*ROUND((Source!AE503*Source!AV503)*Source!I503, 2), 2)</f>
        <v>0</v>
      </c>
      <c r="V584">
        <f>ROUND((108/100)*ROUND(Source!CS503*Source!I503, 2), 2)</f>
        <v>0</v>
      </c>
    </row>
    <row r="585" spans="1:22" ht="14.25" x14ac:dyDescent="0.2">
      <c r="A585" s="18"/>
      <c r="B585" s="18"/>
      <c r="C585" s="18"/>
      <c r="D585" s="18" t="s">
        <v>461</v>
      </c>
      <c r="E585" s="19"/>
      <c r="F585" s="9"/>
      <c r="G585" s="21">
        <f>Source!AO503</f>
        <v>14819.76</v>
      </c>
      <c r="H585" s="20" t="str">
        <f>Source!DG503</f>
        <v/>
      </c>
      <c r="I585" s="9">
        <f>Source!AV503</f>
        <v>1</v>
      </c>
      <c r="J585" s="9">
        <f>IF(Source!BA503&lt;&gt; 0, Source!BA503, 1)</f>
        <v>1</v>
      </c>
      <c r="K585" s="21">
        <f>Source!S503</f>
        <v>14819.76</v>
      </c>
      <c r="L585" s="21"/>
    </row>
    <row r="586" spans="1:22" ht="14.25" x14ac:dyDescent="0.2">
      <c r="A586" s="18"/>
      <c r="B586" s="18"/>
      <c r="C586" s="18"/>
      <c r="D586" s="18" t="s">
        <v>464</v>
      </c>
      <c r="E586" s="19"/>
      <c r="F586" s="9"/>
      <c r="G586" s="21">
        <f>Source!AL503</f>
        <v>205.53</v>
      </c>
      <c r="H586" s="20" t="str">
        <f>Source!DD503</f>
        <v/>
      </c>
      <c r="I586" s="9">
        <f>Source!AW503</f>
        <v>1</v>
      </c>
      <c r="J586" s="9">
        <f>IF(Source!BC503&lt;&gt; 0, Source!BC503, 1)</f>
        <v>1</v>
      </c>
      <c r="K586" s="21">
        <f>Source!P503</f>
        <v>205.53</v>
      </c>
      <c r="L586" s="21"/>
    </row>
    <row r="587" spans="1:22" ht="14.25" x14ac:dyDescent="0.2">
      <c r="A587" s="18"/>
      <c r="B587" s="18"/>
      <c r="C587" s="18"/>
      <c r="D587" s="18" t="s">
        <v>465</v>
      </c>
      <c r="E587" s="19" t="s">
        <v>466</v>
      </c>
      <c r="F587" s="9">
        <f>Source!AT503</f>
        <v>70</v>
      </c>
      <c r="G587" s="21"/>
      <c r="H587" s="20"/>
      <c r="I587" s="9"/>
      <c r="J587" s="9"/>
      <c r="K587" s="21">
        <f>SUM(R584:R586)</f>
        <v>10373.83</v>
      </c>
      <c r="L587" s="21"/>
    </row>
    <row r="588" spans="1:22" ht="14.25" x14ac:dyDescent="0.2">
      <c r="A588" s="18"/>
      <c r="B588" s="18"/>
      <c r="C588" s="18"/>
      <c r="D588" s="18" t="s">
        <v>467</v>
      </c>
      <c r="E588" s="19" t="s">
        <v>466</v>
      </c>
      <c r="F588" s="9">
        <f>Source!AU503</f>
        <v>10</v>
      </c>
      <c r="G588" s="21"/>
      <c r="H588" s="20"/>
      <c r="I588" s="9"/>
      <c r="J588" s="9"/>
      <c r="K588" s="21">
        <f>SUM(T584:T587)</f>
        <v>1481.98</v>
      </c>
      <c r="L588" s="21"/>
    </row>
    <row r="589" spans="1:22" ht="14.25" x14ac:dyDescent="0.2">
      <c r="A589" s="18"/>
      <c r="B589" s="18"/>
      <c r="C589" s="18"/>
      <c r="D589" s="18" t="s">
        <v>469</v>
      </c>
      <c r="E589" s="19" t="s">
        <v>470</v>
      </c>
      <c r="F589" s="9">
        <f>Source!AQ503</f>
        <v>24</v>
      </c>
      <c r="G589" s="21"/>
      <c r="H589" s="20" t="str">
        <f>Source!DI503</f>
        <v/>
      </c>
      <c r="I589" s="9">
        <f>Source!AV503</f>
        <v>1</v>
      </c>
      <c r="J589" s="9"/>
      <c r="K589" s="21"/>
      <c r="L589" s="21">
        <f>Source!U503</f>
        <v>24</v>
      </c>
    </row>
    <row r="590" spans="1:22" ht="15" x14ac:dyDescent="0.25">
      <c r="A590" s="26"/>
      <c r="B590" s="26"/>
      <c r="C590" s="26"/>
      <c r="D590" s="26"/>
      <c r="E590" s="26"/>
      <c r="F590" s="26"/>
      <c r="G590" s="26"/>
      <c r="H590" s="26"/>
      <c r="I590" s="26"/>
      <c r="J590" s="53">
        <f>K585+K586+K587+K588</f>
        <v>26881.100000000002</v>
      </c>
      <c r="K590" s="53"/>
      <c r="L590" s="27">
        <f>IF(Source!I503&lt;&gt;0, ROUND(J590/Source!I503, 2), 0)</f>
        <v>26881.1</v>
      </c>
      <c r="P590" s="24">
        <f>J590</f>
        <v>26881.100000000002</v>
      </c>
    </row>
    <row r="591" spans="1:22" ht="57" x14ac:dyDescent="0.2">
      <c r="A591" s="18">
        <v>58</v>
      </c>
      <c r="B591" s="18">
        <v>58</v>
      </c>
      <c r="C591" s="18" t="str">
        <f>Source!F506</f>
        <v>1.21-2303-50-1/1</v>
      </c>
      <c r="D591" s="18" t="str">
        <f>Source!G506</f>
        <v>Техническое обслуживание  конвектора электрического настенного крепления, с механическим термостатом, мощность до 2,0 кВт</v>
      </c>
      <c r="E591" s="19" t="str">
        <f>Source!H506</f>
        <v>шт.</v>
      </c>
      <c r="F591" s="9">
        <f>Source!I506</f>
        <v>2</v>
      </c>
      <c r="G591" s="21"/>
      <c r="H591" s="20"/>
      <c r="I591" s="9"/>
      <c r="J591" s="9"/>
      <c r="K591" s="21"/>
      <c r="L591" s="21"/>
      <c r="Q591">
        <f>ROUND((Source!BZ506/100)*ROUND((Source!AF506*Source!AV506)*Source!I506, 2), 2)</f>
        <v>121.03</v>
      </c>
      <c r="R591">
        <f>Source!X506</f>
        <v>121.03</v>
      </c>
      <c r="S591">
        <f>ROUND((Source!CA506/100)*ROUND((Source!AF506*Source!AV506)*Source!I506, 2), 2)</f>
        <v>17.29</v>
      </c>
      <c r="T591">
        <f>Source!Y506</f>
        <v>17.29</v>
      </c>
      <c r="U591">
        <f>ROUND((175/100)*ROUND((Source!AE506*Source!AV506)*Source!I506, 2), 2)</f>
        <v>0</v>
      </c>
      <c r="V591">
        <f>ROUND((108/100)*ROUND(Source!CS506*Source!I506, 2), 2)</f>
        <v>0</v>
      </c>
    </row>
    <row r="592" spans="1:22" x14ac:dyDescent="0.2">
      <c r="D592" s="22" t="str">
        <f>"Объем: "&amp;Source!I506&amp;"=2*"&amp;"1"</f>
        <v>Объем: 2=2*1</v>
      </c>
    </row>
    <row r="593" spans="1:22" ht="14.25" x14ac:dyDescent="0.2">
      <c r="A593" s="18"/>
      <c r="B593" s="18"/>
      <c r="C593" s="18"/>
      <c r="D593" s="18" t="s">
        <v>461</v>
      </c>
      <c r="E593" s="19"/>
      <c r="F593" s="9"/>
      <c r="G593" s="21">
        <f>Source!AO506</f>
        <v>86.45</v>
      </c>
      <c r="H593" s="20" t="str">
        <f>Source!DG506</f>
        <v/>
      </c>
      <c r="I593" s="9">
        <f>Source!AV506</f>
        <v>1</v>
      </c>
      <c r="J593" s="9">
        <f>IF(Source!BA506&lt;&gt; 0, Source!BA506, 1)</f>
        <v>1</v>
      </c>
      <c r="K593" s="21">
        <f>Source!S506</f>
        <v>172.9</v>
      </c>
      <c r="L593" s="21"/>
    </row>
    <row r="594" spans="1:22" ht="14.25" x14ac:dyDescent="0.2">
      <c r="A594" s="18"/>
      <c r="B594" s="18"/>
      <c r="C594" s="18"/>
      <c r="D594" s="18" t="s">
        <v>462</v>
      </c>
      <c r="E594" s="19"/>
      <c r="F594" s="9"/>
      <c r="G594" s="21">
        <f>Source!AM506</f>
        <v>0.23</v>
      </c>
      <c r="H594" s="20" t="str">
        <f>Source!DE506</f>
        <v/>
      </c>
      <c r="I594" s="9">
        <f>Source!AV506</f>
        <v>1</v>
      </c>
      <c r="J594" s="9">
        <f>IF(Source!BB506&lt;&gt; 0, Source!BB506, 1)</f>
        <v>1</v>
      </c>
      <c r="K594" s="21">
        <f>Source!Q506</f>
        <v>0.46</v>
      </c>
      <c r="L594" s="21"/>
    </row>
    <row r="595" spans="1:22" ht="14.25" x14ac:dyDescent="0.2">
      <c r="A595" s="18"/>
      <c r="B595" s="18"/>
      <c r="C595" s="18"/>
      <c r="D595" s="18" t="s">
        <v>464</v>
      </c>
      <c r="E595" s="19"/>
      <c r="F595" s="9"/>
      <c r="G595" s="21">
        <f>Source!AL506</f>
        <v>2.2000000000000002</v>
      </c>
      <c r="H595" s="20" t="str">
        <f>Source!DD506</f>
        <v/>
      </c>
      <c r="I595" s="9">
        <f>Source!AW506</f>
        <v>1</v>
      </c>
      <c r="J595" s="9">
        <f>IF(Source!BC506&lt;&gt; 0, Source!BC506, 1)</f>
        <v>1</v>
      </c>
      <c r="K595" s="21">
        <f>Source!P506</f>
        <v>4.4000000000000004</v>
      </c>
      <c r="L595" s="21"/>
    </row>
    <row r="596" spans="1:22" ht="14.25" x14ac:dyDescent="0.2">
      <c r="A596" s="18"/>
      <c r="B596" s="18"/>
      <c r="C596" s="18"/>
      <c r="D596" s="18" t="s">
        <v>465</v>
      </c>
      <c r="E596" s="19" t="s">
        <v>466</v>
      </c>
      <c r="F596" s="9">
        <f>Source!AT506</f>
        <v>70</v>
      </c>
      <c r="G596" s="21"/>
      <c r="H596" s="20"/>
      <c r="I596" s="9"/>
      <c r="J596" s="9"/>
      <c r="K596" s="21">
        <f>SUM(R591:R595)</f>
        <v>121.03</v>
      </c>
      <c r="L596" s="21"/>
    </row>
    <row r="597" spans="1:22" ht="14.25" x14ac:dyDescent="0.2">
      <c r="A597" s="18"/>
      <c r="B597" s="18"/>
      <c r="C597" s="18"/>
      <c r="D597" s="18" t="s">
        <v>467</v>
      </c>
      <c r="E597" s="19" t="s">
        <v>466</v>
      </c>
      <c r="F597" s="9">
        <f>Source!AU506</f>
        <v>10</v>
      </c>
      <c r="G597" s="21"/>
      <c r="H597" s="20"/>
      <c r="I597" s="9"/>
      <c r="J597" s="9"/>
      <c r="K597" s="21">
        <f>SUM(T591:T596)</f>
        <v>17.29</v>
      </c>
      <c r="L597" s="21"/>
    </row>
    <row r="598" spans="1:22" ht="14.25" x14ac:dyDescent="0.2">
      <c r="A598" s="18"/>
      <c r="B598" s="18"/>
      <c r="C598" s="18"/>
      <c r="D598" s="18" t="s">
        <v>469</v>
      </c>
      <c r="E598" s="19" t="s">
        <v>470</v>
      </c>
      <c r="F598" s="9">
        <f>Source!AQ506</f>
        <v>0.14000000000000001</v>
      </c>
      <c r="G598" s="21"/>
      <c r="H598" s="20" t="str">
        <f>Source!DI506</f>
        <v/>
      </c>
      <c r="I598" s="9">
        <f>Source!AV506</f>
        <v>1</v>
      </c>
      <c r="J598" s="9"/>
      <c r="K598" s="21"/>
      <c r="L598" s="21">
        <f>Source!U506</f>
        <v>0.28000000000000003</v>
      </c>
    </row>
    <row r="599" spans="1:22" ht="15" x14ac:dyDescent="0.25">
      <c r="A599" s="26"/>
      <c r="B599" s="26"/>
      <c r="C599" s="26"/>
      <c r="D599" s="26"/>
      <c r="E599" s="26"/>
      <c r="F599" s="26"/>
      <c r="G599" s="26"/>
      <c r="H599" s="26"/>
      <c r="I599" s="26"/>
      <c r="J599" s="53">
        <f>K593+K594+K595+K596+K597</f>
        <v>316.08000000000004</v>
      </c>
      <c r="K599" s="53"/>
      <c r="L599" s="27">
        <f>IF(Source!I506&lt;&gt;0, ROUND(J599/Source!I506, 2), 0)</f>
        <v>158.04</v>
      </c>
      <c r="P599" s="24">
        <f>J599</f>
        <v>316.08000000000004</v>
      </c>
    </row>
    <row r="600" spans="1:22" ht="165" x14ac:dyDescent="0.2">
      <c r="A600" s="18">
        <v>59</v>
      </c>
      <c r="B600" s="18">
        <v>59</v>
      </c>
      <c r="C600" s="18" t="s">
        <v>473</v>
      </c>
      <c r="D600" s="18" t="s">
        <v>474</v>
      </c>
      <c r="E600" s="19" t="str">
        <f>Source!H514</f>
        <v>шт.</v>
      </c>
      <c r="F600" s="9">
        <f>Source!I514</f>
        <v>3</v>
      </c>
      <c r="G600" s="21"/>
      <c r="H600" s="20"/>
      <c r="I600" s="9"/>
      <c r="J600" s="9"/>
      <c r="K600" s="21"/>
      <c r="L600" s="21"/>
      <c r="Q600">
        <f>ROUND((Source!BZ514/100)*ROUND((Source!AF514*Source!AV514)*Source!I514, 2), 2)</f>
        <v>368.33</v>
      </c>
      <c r="R600">
        <f>Source!X514</f>
        <v>368.33</v>
      </c>
      <c r="S600">
        <f>ROUND((Source!CA514/100)*ROUND((Source!AF514*Source!AV514)*Source!I514, 2), 2)</f>
        <v>52.62</v>
      </c>
      <c r="T600">
        <f>Source!Y514</f>
        <v>52.62</v>
      </c>
      <c r="U600">
        <f>ROUND((175/100)*ROUND((Source!AE514*Source!AV514)*Source!I514, 2), 2)</f>
        <v>0</v>
      </c>
      <c r="V600">
        <f>ROUND((108/100)*ROUND(Source!CS514*Source!I514, 2), 2)</f>
        <v>0</v>
      </c>
    </row>
    <row r="601" spans="1:22" x14ac:dyDescent="0.2">
      <c r="D601" s="22" t="str">
        <f>"Объем: "&amp;Source!I514&amp;"=(3)*"&amp;"1"</f>
        <v>Объем: 3=(3)*1</v>
      </c>
    </row>
    <row r="602" spans="1:22" ht="14.25" x14ac:dyDescent="0.2">
      <c r="A602" s="18"/>
      <c r="B602" s="18"/>
      <c r="C602" s="18"/>
      <c r="D602" s="18" t="s">
        <v>461</v>
      </c>
      <c r="E602" s="19"/>
      <c r="F602" s="9"/>
      <c r="G602" s="21">
        <f>Source!AO514</f>
        <v>168.65</v>
      </c>
      <c r="H602" s="20" t="str">
        <f>Source!DG514</f>
        <v>)*1,04</v>
      </c>
      <c r="I602" s="9">
        <f>Source!AV514</f>
        <v>1</v>
      </c>
      <c r="J602" s="9">
        <f>IF(Source!BA514&lt;&gt; 0, Source!BA514, 1)</f>
        <v>1</v>
      </c>
      <c r="K602" s="21">
        <f>Source!S514</f>
        <v>526.19000000000005</v>
      </c>
      <c r="L602" s="21"/>
    </row>
    <row r="603" spans="1:22" ht="14.25" x14ac:dyDescent="0.2">
      <c r="A603" s="18"/>
      <c r="B603" s="18"/>
      <c r="C603" s="18"/>
      <c r="D603" s="18" t="s">
        <v>464</v>
      </c>
      <c r="E603" s="19"/>
      <c r="F603" s="9"/>
      <c r="G603" s="21">
        <f>Source!AL514</f>
        <v>0.63</v>
      </c>
      <c r="H603" s="20" t="str">
        <f>Source!DD514</f>
        <v/>
      </c>
      <c r="I603" s="9">
        <f>Source!AW514</f>
        <v>1</v>
      </c>
      <c r="J603" s="9">
        <f>IF(Source!BC514&lt;&gt; 0, Source!BC514, 1)</f>
        <v>1</v>
      </c>
      <c r="K603" s="21">
        <f>Source!P514</f>
        <v>1.89</v>
      </c>
      <c r="L603" s="21"/>
    </row>
    <row r="604" spans="1:22" ht="14.25" x14ac:dyDescent="0.2">
      <c r="A604" s="18"/>
      <c r="B604" s="18"/>
      <c r="C604" s="18"/>
      <c r="D604" s="18" t="s">
        <v>465</v>
      </c>
      <c r="E604" s="19" t="s">
        <v>466</v>
      </c>
      <c r="F604" s="9">
        <f>Source!AT514</f>
        <v>70</v>
      </c>
      <c r="G604" s="21"/>
      <c r="H604" s="20"/>
      <c r="I604" s="9"/>
      <c r="J604" s="9"/>
      <c r="K604" s="21">
        <f>SUM(R600:R603)</f>
        <v>368.33</v>
      </c>
      <c r="L604" s="21"/>
    </row>
    <row r="605" spans="1:22" ht="14.25" x14ac:dyDescent="0.2">
      <c r="A605" s="18"/>
      <c r="B605" s="18"/>
      <c r="C605" s="18"/>
      <c r="D605" s="18" t="s">
        <v>467</v>
      </c>
      <c r="E605" s="19" t="s">
        <v>466</v>
      </c>
      <c r="F605" s="9">
        <f>Source!AU514</f>
        <v>10</v>
      </c>
      <c r="G605" s="21"/>
      <c r="H605" s="20"/>
      <c r="I605" s="9"/>
      <c r="J605" s="9"/>
      <c r="K605" s="21">
        <f>SUM(T600:T604)</f>
        <v>52.62</v>
      </c>
      <c r="L605" s="21"/>
    </row>
    <row r="606" spans="1:22" ht="14.25" x14ac:dyDescent="0.2">
      <c r="A606" s="18"/>
      <c r="B606" s="18"/>
      <c r="C606" s="18"/>
      <c r="D606" s="18" t="s">
        <v>469</v>
      </c>
      <c r="E606" s="19" t="s">
        <v>470</v>
      </c>
      <c r="F606" s="9">
        <f>Source!AQ514</f>
        <v>0.3</v>
      </c>
      <c r="G606" s="21"/>
      <c r="H606" s="20" t="str">
        <f>Source!DI514</f>
        <v>)*1,04</v>
      </c>
      <c r="I606" s="9">
        <f>Source!AV514</f>
        <v>1</v>
      </c>
      <c r="J606" s="9"/>
      <c r="K606" s="21"/>
      <c r="L606" s="21">
        <f>Source!U514</f>
        <v>0.93599999999999994</v>
      </c>
    </row>
    <row r="607" spans="1:22" ht="15" x14ac:dyDescent="0.25">
      <c r="A607" s="26"/>
      <c r="B607" s="26"/>
      <c r="C607" s="26"/>
      <c r="D607" s="26"/>
      <c r="E607" s="26"/>
      <c r="F607" s="26"/>
      <c r="G607" s="26"/>
      <c r="H607" s="26"/>
      <c r="I607" s="26"/>
      <c r="J607" s="53">
        <f>K602+K603+K604+K605</f>
        <v>949.03000000000009</v>
      </c>
      <c r="K607" s="53"/>
      <c r="L607" s="27">
        <f>IF(Source!I514&lt;&gt;0, ROUND(J607/Source!I514, 2), 0)</f>
        <v>316.33999999999997</v>
      </c>
      <c r="P607" s="24">
        <f>J607</f>
        <v>949.03000000000009</v>
      </c>
    </row>
    <row r="608" spans="1:22" ht="108" x14ac:dyDescent="0.2">
      <c r="A608" s="18">
        <v>60</v>
      </c>
      <c r="B608" s="18">
        <v>60</v>
      </c>
      <c r="C608" s="18" t="s">
        <v>475</v>
      </c>
      <c r="D608" s="18" t="s">
        <v>476</v>
      </c>
      <c r="E608" s="19" t="str">
        <f>Source!H515</f>
        <v>шт.</v>
      </c>
      <c r="F608" s="9">
        <f>Source!I515</f>
        <v>3</v>
      </c>
      <c r="G608" s="21"/>
      <c r="H608" s="20"/>
      <c r="I608" s="9"/>
      <c r="J608" s="9"/>
      <c r="K608" s="21"/>
      <c r="L608" s="21"/>
      <c r="Q608">
        <f>ROUND((Source!BZ515/100)*ROUND((Source!AF515*Source!AV515)*Source!I515, 2), 2)</f>
        <v>491.11</v>
      </c>
      <c r="R608">
        <f>Source!X515</f>
        <v>491.11</v>
      </c>
      <c r="S608">
        <f>ROUND((Source!CA515/100)*ROUND((Source!AF515*Source!AV515)*Source!I515, 2), 2)</f>
        <v>70.16</v>
      </c>
      <c r="T608">
        <f>Source!Y515</f>
        <v>70.16</v>
      </c>
      <c r="U608">
        <f>ROUND((175/100)*ROUND((Source!AE515*Source!AV515)*Source!I515, 2), 2)</f>
        <v>0</v>
      </c>
      <c r="V608">
        <f>ROUND((108/100)*ROUND(Source!CS515*Source!I515, 2), 2)</f>
        <v>0</v>
      </c>
    </row>
    <row r="609" spans="1:22" x14ac:dyDescent="0.2">
      <c r="D609" s="22" t="str">
        <f>"Объем: "&amp;Source!I515&amp;"=3*"&amp;"1"</f>
        <v>Объем: 3=3*1</v>
      </c>
    </row>
    <row r="610" spans="1:22" ht="14.25" x14ac:dyDescent="0.2">
      <c r="A610" s="18"/>
      <c r="B610" s="18"/>
      <c r="C610" s="18"/>
      <c r="D610" s="18" t="s">
        <v>461</v>
      </c>
      <c r="E610" s="19"/>
      <c r="F610" s="9"/>
      <c r="G610" s="21">
        <f>Source!AO515</f>
        <v>224.87</v>
      </c>
      <c r="H610" s="20" t="str">
        <f>Source!DG515</f>
        <v>)*1,04</v>
      </c>
      <c r="I610" s="9">
        <f>Source!AV515</f>
        <v>1</v>
      </c>
      <c r="J610" s="9">
        <f>IF(Source!BA515&lt;&gt; 0, Source!BA515, 1)</f>
        <v>1</v>
      </c>
      <c r="K610" s="21">
        <f>Source!S515</f>
        <v>701.59</v>
      </c>
      <c r="L610" s="21"/>
    </row>
    <row r="611" spans="1:22" ht="14.25" x14ac:dyDescent="0.2">
      <c r="A611" s="18"/>
      <c r="B611" s="18"/>
      <c r="C611" s="18"/>
      <c r="D611" s="18" t="s">
        <v>464</v>
      </c>
      <c r="E611" s="19"/>
      <c r="F611" s="9"/>
      <c r="G611" s="21">
        <f>Source!AL515</f>
        <v>1.26</v>
      </c>
      <c r="H611" s="20" t="str">
        <f>Source!DD515</f>
        <v/>
      </c>
      <c r="I611" s="9">
        <f>Source!AW515</f>
        <v>1</v>
      </c>
      <c r="J611" s="9">
        <f>IF(Source!BC515&lt;&gt; 0, Source!BC515, 1)</f>
        <v>1</v>
      </c>
      <c r="K611" s="21">
        <f>Source!P515</f>
        <v>3.78</v>
      </c>
      <c r="L611" s="21"/>
    </row>
    <row r="612" spans="1:22" ht="14.25" x14ac:dyDescent="0.2">
      <c r="A612" s="18"/>
      <c r="B612" s="18"/>
      <c r="C612" s="18"/>
      <c r="D612" s="18" t="s">
        <v>465</v>
      </c>
      <c r="E612" s="19" t="s">
        <v>466</v>
      </c>
      <c r="F612" s="9">
        <f>Source!AT515</f>
        <v>70</v>
      </c>
      <c r="G612" s="21"/>
      <c r="H612" s="20"/>
      <c r="I612" s="9"/>
      <c r="J612" s="9"/>
      <c r="K612" s="21">
        <f>SUM(R608:R611)</f>
        <v>491.11</v>
      </c>
      <c r="L612" s="21"/>
    </row>
    <row r="613" spans="1:22" ht="14.25" x14ac:dyDescent="0.2">
      <c r="A613" s="18"/>
      <c r="B613" s="18"/>
      <c r="C613" s="18"/>
      <c r="D613" s="18" t="s">
        <v>467</v>
      </c>
      <c r="E613" s="19" t="s">
        <v>466</v>
      </c>
      <c r="F613" s="9">
        <f>Source!AU515</f>
        <v>10</v>
      </c>
      <c r="G613" s="21"/>
      <c r="H613" s="20"/>
      <c r="I613" s="9"/>
      <c r="J613" s="9"/>
      <c r="K613" s="21">
        <f>SUM(T608:T612)</f>
        <v>70.16</v>
      </c>
      <c r="L613" s="21"/>
    </row>
    <row r="614" spans="1:22" ht="14.25" x14ac:dyDescent="0.2">
      <c r="A614" s="18"/>
      <c r="B614" s="18"/>
      <c r="C614" s="18"/>
      <c r="D614" s="18" t="s">
        <v>469</v>
      </c>
      <c r="E614" s="19" t="s">
        <v>470</v>
      </c>
      <c r="F614" s="9">
        <f>Source!AQ515</f>
        <v>0.4</v>
      </c>
      <c r="G614" s="21"/>
      <c r="H614" s="20" t="str">
        <f>Source!DI515</f>
        <v>)*1,04</v>
      </c>
      <c r="I614" s="9">
        <f>Source!AV515</f>
        <v>1</v>
      </c>
      <c r="J614" s="9"/>
      <c r="K614" s="21"/>
      <c r="L614" s="21">
        <f>Source!U515</f>
        <v>1.2480000000000002</v>
      </c>
    </row>
    <row r="615" spans="1:22" ht="15" x14ac:dyDescent="0.25">
      <c r="A615" s="26"/>
      <c r="B615" s="26"/>
      <c r="C615" s="26"/>
      <c r="D615" s="26"/>
      <c r="E615" s="26"/>
      <c r="F615" s="26"/>
      <c r="G615" s="26"/>
      <c r="H615" s="26"/>
      <c r="I615" s="26"/>
      <c r="J615" s="53">
        <f>K610+K611+K612+K613</f>
        <v>1266.6400000000001</v>
      </c>
      <c r="K615" s="53"/>
      <c r="L615" s="27">
        <f>IF(Source!I515&lt;&gt;0, ROUND(J615/Source!I515, 2), 0)</f>
        <v>422.21</v>
      </c>
      <c r="P615" s="24">
        <f>J615</f>
        <v>1266.6400000000001</v>
      </c>
    </row>
    <row r="616" spans="1:22" ht="71.25" x14ac:dyDescent="0.2">
      <c r="A616" s="18">
        <v>61</v>
      </c>
      <c r="B616" s="18">
        <v>61</v>
      </c>
      <c r="C616" s="18" t="str">
        <f>Source!F516</f>
        <v>1.20-2103-20-1/1</v>
      </c>
      <c r="D616" s="18" t="str">
        <f>Source!G516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616" s="19" t="str">
        <f>Source!H516</f>
        <v>шт.</v>
      </c>
      <c r="F616" s="9">
        <f>Source!I516</f>
        <v>3</v>
      </c>
      <c r="G616" s="21"/>
      <c r="H616" s="20"/>
      <c r="I616" s="9"/>
      <c r="J616" s="9"/>
      <c r="K616" s="21"/>
      <c r="L616" s="21"/>
      <c r="Q616">
        <f>ROUND((Source!BZ516/100)*ROUND((Source!AF516*Source!AV516)*Source!I516, 2), 2)</f>
        <v>1227.74</v>
      </c>
      <c r="R616">
        <f>Source!X516</f>
        <v>1227.74</v>
      </c>
      <c r="S616">
        <f>ROUND((Source!CA516/100)*ROUND((Source!AF516*Source!AV516)*Source!I516, 2), 2)</f>
        <v>175.39</v>
      </c>
      <c r="T616">
        <f>Source!Y516</f>
        <v>175.39</v>
      </c>
      <c r="U616">
        <f>ROUND((175/100)*ROUND((Source!AE516*Source!AV516)*Source!I516, 2), 2)</f>
        <v>0</v>
      </c>
      <c r="V616">
        <f>ROUND((108/100)*ROUND(Source!CS516*Source!I516, 2), 2)</f>
        <v>0</v>
      </c>
    </row>
    <row r="617" spans="1:22" x14ac:dyDescent="0.2">
      <c r="D617" s="22" t="str">
        <f>"Объем: "&amp;Source!I516&amp;"=3*"&amp;"1"</f>
        <v>Объем: 3=3*1</v>
      </c>
    </row>
    <row r="618" spans="1:22" ht="14.25" x14ac:dyDescent="0.2">
      <c r="A618" s="18"/>
      <c r="B618" s="18"/>
      <c r="C618" s="18"/>
      <c r="D618" s="18" t="s">
        <v>461</v>
      </c>
      <c r="E618" s="19"/>
      <c r="F618" s="9"/>
      <c r="G618" s="21">
        <f>Source!AO516</f>
        <v>146.16</v>
      </c>
      <c r="H618" s="20" t="str">
        <f>Source!DG516</f>
        <v>)*4</v>
      </c>
      <c r="I618" s="9">
        <f>Source!AV516</f>
        <v>1</v>
      </c>
      <c r="J618" s="9">
        <f>IF(Source!BA516&lt;&gt; 0, Source!BA516, 1)</f>
        <v>1</v>
      </c>
      <c r="K618" s="21">
        <f>Source!S516</f>
        <v>1753.92</v>
      </c>
      <c r="L618" s="21"/>
    </row>
    <row r="619" spans="1:22" ht="14.25" x14ac:dyDescent="0.2">
      <c r="A619" s="18"/>
      <c r="B619" s="18"/>
      <c r="C619" s="18"/>
      <c r="D619" s="18" t="s">
        <v>464</v>
      </c>
      <c r="E619" s="19"/>
      <c r="F619" s="9"/>
      <c r="G619" s="21">
        <f>Source!AL516</f>
        <v>1.26</v>
      </c>
      <c r="H619" s="20" t="str">
        <f>Source!DD516</f>
        <v>)*4</v>
      </c>
      <c r="I619" s="9">
        <f>Source!AW516</f>
        <v>1</v>
      </c>
      <c r="J619" s="9">
        <f>IF(Source!BC516&lt;&gt; 0, Source!BC516, 1)</f>
        <v>1</v>
      </c>
      <c r="K619" s="21">
        <f>Source!P516</f>
        <v>15.12</v>
      </c>
      <c r="L619" s="21"/>
    </row>
    <row r="620" spans="1:22" ht="14.25" x14ac:dyDescent="0.2">
      <c r="A620" s="18"/>
      <c r="B620" s="18"/>
      <c r="C620" s="18"/>
      <c r="D620" s="18" t="s">
        <v>465</v>
      </c>
      <c r="E620" s="19" t="s">
        <v>466</v>
      </c>
      <c r="F620" s="9">
        <f>Source!AT516</f>
        <v>70</v>
      </c>
      <c r="G620" s="21"/>
      <c r="H620" s="20"/>
      <c r="I620" s="9"/>
      <c r="J620" s="9"/>
      <c r="K620" s="21">
        <f>SUM(R616:R619)</f>
        <v>1227.74</v>
      </c>
      <c r="L620" s="21"/>
    </row>
    <row r="621" spans="1:22" ht="14.25" x14ac:dyDescent="0.2">
      <c r="A621" s="18"/>
      <c r="B621" s="18"/>
      <c r="C621" s="18"/>
      <c r="D621" s="18" t="s">
        <v>467</v>
      </c>
      <c r="E621" s="19" t="s">
        <v>466</v>
      </c>
      <c r="F621" s="9">
        <f>Source!AU516</f>
        <v>10</v>
      </c>
      <c r="G621" s="21"/>
      <c r="H621" s="20"/>
      <c r="I621" s="9"/>
      <c r="J621" s="9"/>
      <c r="K621" s="21">
        <f>SUM(T616:T620)</f>
        <v>175.39</v>
      </c>
      <c r="L621" s="21"/>
    </row>
    <row r="622" spans="1:22" ht="14.25" x14ac:dyDescent="0.2">
      <c r="A622" s="18"/>
      <c r="B622" s="18"/>
      <c r="C622" s="18"/>
      <c r="D622" s="18" t="s">
        <v>469</v>
      </c>
      <c r="E622" s="19" t="s">
        <v>470</v>
      </c>
      <c r="F622" s="9">
        <f>Source!AQ516</f>
        <v>0.26</v>
      </c>
      <c r="G622" s="21"/>
      <c r="H622" s="20" t="str">
        <f>Source!DI516</f>
        <v>)*4</v>
      </c>
      <c r="I622" s="9">
        <f>Source!AV516</f>
        <v>1</v>
      </c>
      <c r="J622" s="9"/>
      <c r="K622" s="21"/>
      <c r="L622" s="21">
        <f>Source!U516</f>
        <v>3.12</v>
      </c>
    </row>
    <row r="623" spans="1:22" ht="15" x14ac:dyDescent="0.25">
      <c r="A623" s="26"/>
      <c r="B623" s="26"/>
      <c r="C623" s="26"/>
      <c r="D623" s="26"/>
      <c r="E623" s="26"/>
      <c r="F623" s="26"/>
      <c r="G623" s="26"/>
      <c r="H623" s="26"/>
      <c r="I623" s="26"/>
      <c r="J623" s="53">
        <f>K618+K619+K620+K621</f>
        <v>3172.1699999999996</v>
      </c>
      <c r="K623" s="53"/>
      <c r="L623" s="27">
        <f>IF(Source!I516&lt;&gt;0, ROUND(J623/Source!I516, 2), 0)</f>
        <v>1057.3900000000001</v>
      </c>
      <c r="P623" s="24">
        <f>J623</f>
        <v>3172.1699999999996</v>
      </c>
    </row>
    <row r="624" spans="1:22" ht="28.5" x14ac:dyDescent="0.2">
      <c r="A624" s="18">
        <v>62</v>
      </c>
      <c r="B624" s="18">
        <v>62</v>
      </c>
      <c r="C624" s="18" t="str">
        <f>Source!F517</f>
        <v>1.18-2303-3-1/1</v>
      </c>
      <c r="D624" s="18" t="str">
        <f>Source!G517</f>
        <v>Техническое обслуживание канального вентилятора - ежемесячное</v>
      </c>
      <c r="E624" s="19" t="str">
        <f>Source!H517</f>
        <v>шт.</v>
      </c>
      <c r="F624" s="9">
        <f>Source!I517</f>
        <v>2</v>
      </c>
      <c r="G624" s="21"/>
      <c r="H624" s="20"/>
      <c r="I624" s="9"/>
      <c r="J624" s="9"/>
      <c r="K624" s="21"/>
      <c r="L624" s="21"/>
      <c r="Q624">
        <f>ROUND((Source!BZ517/100)*ROUND((Source!AF517*Source!AV517)*Source!I517, 2), 2)</f>
        <v>1703.07</v>
      </c>
      <c r="R624">
        <f>Source!X517</f>
        <v>1703.07</v>
      </c>
      <c r="S624">
        <f>ROUND((Source!CA517/100)*ROUND((Source!AF517*Source!AV517)*Source!I517, 2), 2)</f>
        <v>243.3</v>
      </c>
      <c r="T624">
        <f>Source!Y517</f>
        <v>243.3</v>
      </c>
      <c r="U624">
        <f>ROUND((175/100)*ROUND((Source!AE517*Source!AV517)*Source!I517, 2), 2)</f>
        <v>0</v>
      </c>
      <c r="V624">
        <f>ROUND((108/100)*ROUND(Source!CS517*Source!I517, 2), 2)</f>
        <v>0</v>
      </c>
    </row>
    <row r="625" spans="1:22" x14ac:dyDescent="0.2">
      <c r="D625" s="22" t="str">
        <f>"Объем: "&amp;Source!I517&amp;"=2*"&amp;"1"</f>
        <v>Объем: 2=2*1</v>
      </c>
    </row>
    <row r="626" spans="1:22" ht="14.25" x14ac:dyDescent="0.2">
      <c r="A626" s="18"/>
      <c r="B626" s="18"/>
      <c r="C626" s="18"/>
      <c r="D626" s="18" t="s">
        <v>461</v>
      </c>
      <c r="E626" s="19"/>
      <c r="F626" s="9"/>
      <c r="G626" s="21">
        <f>Source!AO517</f>
        <v>304.12</v>
      </c>
      <c r="H626" s="20" t="str">
        <f>Source!DG517</f>
        <v>)*4</v>
      </c>
      <c r="I626" s="9">
        <f>Source!AV517</f>
        <v>1</v>
      </c>
      <c r="J626" s="9">
        <f>IF(Source!BA517&lt;&gt; 0, Source!BA517, 1)</f>
        <v>1</v>
      </c>
      <c r="K626" s="21">
        <f>Source!S517</f>
        <v>2432.96</v>
      </c>
      <c r="L626" s="21"/>
    </row>
    <row r="627" spans="1:22" ht="14.25" x14ac:dyDescent="0.2">
      <c r="A627" s="18"/>
      <c r="B627" s="18"/>
      <c r="C627" s="18"/>
      <c r="D627" s="18" t="s">
        <v>465</v>
      </c>
      <c r="E627" s="19" t="s">
        <v>466</v>
      </c>
      <c r="F627" s="9">
        <f>Source!AT517</f>
        <v>70</v>
      </c>
      <c r="G627" s="21"/>
      <c r="H627" s="20"/>
      <c r="I627" s="9"/>
      <c r="J627" s="9"/>
      <c r="K627" s="21">
        <f>SUM(R624:R626)</f>
        <v>1703.07</v>
      </c>
      <c r="L627" s="21"/>
    </row>
    <row r="628" spans="1:22" ht="14.25" x14ac:dyDescent="0.2">
      <c r="A628" s="18"/>
      <c r="B628" s="18"/>
      <c r="C628" s="18"/>
      <c r="D628" s="18" t="s">
        <v>467</v>
      </c>
      <c r="E628" s="19" t="s">
        <v>466</v>
      </c>
      <c r="F628" s="9">
        <f>Source!AU517</f>
        <v>10</v>
      </c>
      <c r="G628" s="21"/>
      <c r="H628" s="20"/>
      <c r="I628" s="9"/>
      <c r="J628" s="9"/>
      <c r="K628" s="21">
        <f>SUM(T624:T627)</f>
        <v>243.3</v>
      </c>
      <c r="L628" s="21"/>
    </row>
    <row r="629" spans="1:22" ht="14.25" x14ac:dyDescent="0.2">
      <c r="A629" s="18"/>
      <c r="B629" s="18"/>
      <c r="C629" s="18"/>
      <c r="D629" s="18" t="s">
        <v>469</v>
      </c>
      <c r="E629" s="19" t="s">
        <v>470</v>
      </c>
      <c r="F629" s="9">
        <f>Source!AQ517</f>
        <v>0.5</v>
      </c>
      <c r="G629" s="21"/>
      <c r="H629" s="20" t="str">
        <f>Source!DI517</f>
        <v>)*4</v>
      </c>
      <c r="I629" s="9">
        <f>Source!AV517</f>
        <v>1</v>
      </c>
      <c r="J629" s="9"/>
      <c r="K629" s="21"/>
      <c r="L629" s="21">
        <f>Source!U517</f>
        <v>4</v>
      </c>
    </row>
    <row r="630" spans="1:22" ht="15" x14ac:dyDescent="0.25">
      <c r="A630" s="26"/>
      <c r="B630" s="26"/>
      <c r="C630" s="26"/>
      <c r="D630" s="26"/>
      <c r="E630" s="26"/>
      <c r="F630" s="26"/>
      <c r="G630" s="26"/>
      <c r="H630" s="26"/>
      <c r="I630" s="26"/>
      <c r="J630" s="53">
        <f>K626+K627+K628</f>
        <v>4379.33</v>
      </c>
      <c r="K630" s="53"/>
      <c r="L630" s="27">
        <f>IF(Source!I517&lt;&gt;0, ROUND(J630/Source!I517, 2), 0)</f>
        <v>2189.67</v>
      </c>
      <c r="P630" s="24">
        <f>J630</f>
        <v>4379.33</v>
      </c>
    </row>
    <row r="631" spans="1:22" ht="28.5" x14ac:dyDescent="0.2">
      <c r="A631" s="18">
        <v>63</v>
      </c>
      <c r="B631" s="18">
        <v>63</v>
      </c>
      <c r="C631" s="18" t="str">
        <f>Source!F520</f>
        <v>1.23-2103-6-1/1</v>
      </c>
      <c r="D631" s="18" t="str">
        <f>Source!G520</f>
        <v>Техническое обслуживание выключателей поплавковых</v>
      </c>
      <c r="E631" s="19" t="str">
        <f>Source!H520</f>
        <v>100 шт.</v>
      </c>
      <c r="F631" s="9">
        <f>Source!I520</f>
        <v>0.01</v>
      </c>
      <c r="G631" s="21"/>
      <c r="H631" s="20"/>
      <c r="I631" s="9"/>
      <c r="J631" s="9"/>
      <c r="K631" s="21"/>
      <c r="L631" s="21"/>
      <c r="Q631">
        <f>ROUND((Source!BZ520/100)*ROUND((Source!AF520*Source!AV520)*Source!I520, 2), 2)</f>
        <v>89.94</v>
      </c>
      <c r="R631">
        <f>Source!X520</f>
        <v>89.94</v>
      </c>
      <c r="S631">
        <f>ROUND((Source!CA520/100)*ROUND((Source!AF520*Source!AV520)*Source!I520, 2), 2)</f>
        <v>12.85</v>
      </c>
      <c r="T631">
        <f>Source!Y520</f>
        <v>12.85</v>
      </c>
      <c r="U631">
        <f>ROUND((175/100)*ROUND((Source!AE520*Source!AV520)*Source!I520, 2), 2)</f>
        <v>40.479999999999997</v>
      </c>
      <c r="V631">
        <f>ROUND((108/100)*ROUND(Source!CS520*Source!I520, 2), 2)</f>
        <v>24.98</v>
      </c>
    </row>
    <row r="632" spans="1:22" x14ac:dyDescent="0.2">
      <c r="D632" s="22" t="str">
        <f>"Объем: "&amp;Source!I520&amp;"=(1*"&amp;"1)/"&amp;"100"</f>
        <v>Объем: 0,01=(1*1)/100</v>
      </c>
    </row>
    <row r="633" spans="1:22" ht="14.25" x14ac:dyDescent="0.2">
      <c r="A633" s="18"/>
      <c r="B633" s="18"/>
      <c r="C633" s="18"/>
      <c r="D633" s="18" t="s">
        <v>461</v>
      </c>
      <c r="E633" s="19"/>
      <c r="F633" s="9"/>
      <c r="G633" s="21">
        <f>Source!AO520</f>
        <v>3211.89</v>
      </c>
      <c r="H633" s="20" t="str">
        <f>Source!DG520</f>
        <v>)*4</v>
      </c>
      <c r="I633" s="9">
        <f>Source!AV520</f>
        <v>1</v>
      </c>
      <c r="J633" s="9">
        <f>IF(Source!BA520&lt;&gt; 0, Source!BA520, 1)</f>
        <v>1</v>
      </c>
      <c r="K633" s="21">
        <f>Source!S520</f>
        <v>128.47999999999999</v>
      </c>
      <c r="L633" s="21"/>
    </row>
    <row r="634" spans="1:22" ht="14.25" x14ac:dyDescent="0.2">
      <c r="A634" s="18"/>
      <c r="B634" s="18"/>
      <c r="C634" s="18"/>
      <c r="D634" s="18" t="s">
        <v>462</v>
      </c>
      <c r="E634" s="19"/>
      <c r="F634" s="9"/>
      <c r="G634" s="21">
        <f>Source!AM520</f>
        <v>912.11</v>
      </c>
      <c r="H634" s="20" t="str">
        <f>Source!DE520</f>
        <v>)*4</v>
      </c>
      <c r="I634" s="9">
        <f>Source!AV520</f>
        <v>1</v>
      </c>
      <c r="J634" s="9">
        <f>IF(Source!BB520&lt;&gt; 0, Source!BB520, 1)</f>
        <v>1</v>
      </c>
      <c r="K634" s="21">
        <f>Source!Q520</f>
        <v>36.479999999999997</v>
      </c>
      <c r="L634" s="21"/>
    </row>
    <row r="635" spans="1:22" ht="14.25" x14ac:dyDescent="0.2">
      <c r="A635" s="18"/>
      <c r="B635" s="18"/>
      <c r="C635" s="18"/>
      <c r="D635" s="18" t="s">
        <v>463</v>
      </c>
      <c r="E635" s="19"/>
      <c r="F635" s="9"/>
      <c r="G635" s="21">
        <f>Source!AN520</f>
        <v>578.34</v>
      </c>
      <c r="H635" s="20" t="str">
        <f>Source!DF520</f>
        <v>)*4</v>
      </c>
      <c r="I635" s="9">
        <f>Source!AV520</f>
        <v>1</v>
      </c>
      <c r="J635" s="9">
        <f>IF(Source!BS520&lt;&gt; 0, Source!BS520, 1)</f>
        <v>1</v>
      </c>
      <c r="K635" s="23">
        <f>Source!R520</f>
        <v>23.13</v>
      </c>
      <c r="L635" s="21"/>
    </row>
    <row r="636" spans="1:22" ht="14.25" x14ac:dyDescent="0.2">
      <c r="A636" s="18"/>
      <c r="B636" s="18"/>
      <c r="C636" s="18"/>
      <c r="D636" s="18" t="s">
        <v>464</v>
      </c>
      <c r="E636" s="19"/>
      <c r="F636" s="9"/>
      <c r="G636" s="21">
        <f>Source!AL520</f>
        <v>0.94</v>
      </c>
      <c r="H636" s="20" t="str">
        <f>Source!DD520</f>
        <v>)*4</v>
      </c>
      <c r="I636" s="9">
        <f>Source!AW520</f>
        <v>1</v>
      </c>
      <c r="J636" s="9">
        <f>IF(Source!BC520&lt;&gt; 0, Source!BC520, 1)</f>
        <v>1</v>
      </c>
      <c r="K636" s="21">
        <f>Source!P520</f>
        <v>0.04</v>
      </c>
      <c r="L636" s="21"/>
    </row>
    <row r="637" spans="1:22" ht="14.25" x14ac:dyDescent="0.2">
      <c r="A637" s="18"/>
      <c r="B637" s="18"/>
      <c r="C637" s="18"/>
      <c r="D637" s="18" t="s">
        <v>465</v>
      </c>
      <c r="E637" s="19" t="s">
        <v>466</v>
      </c>
      <c r="F637" s="9">
        <f>Source!AT520</f>
        <v>70</v>
      </c>
      <c r="G637" s="21"/>
      <c r="H637" s="20"/>
      <c r="I637" s="9"/>
      <c r="J637" s="9"/>
      <c r="K637" s="21">
        <f>SUM(R631:R636)</f>
        <v>89.94</v>
      </c>
      <c r="L637" s="21"/>
    </row>
    <row r="638" spans="1:22" ht="14.25" x14ac:dyDescent="0.2">
      <c r="A638" s="18"/>
      <c r="B638" s="18"/>
      <c r="C638" s="18"/>
      <c r="D638" s="18" t="s">
        <v>467</v>
      </c>
      <c r="E638" s="19" t="s">
        <v>466</v>
      </c>
      <c r="F638" s="9">
        <f>Source!AU520</f>
        <v>10</v>
      </c>
      <c r="G638" s="21"/>
      <c r="H638" s="20"/>
      <c r="I638" s="9"/>
      <c r="J638" s="9"/>
      <c r="K638" s="21">
        <f>SUM(T631:T637)</f>
        <v>12.85</v>
      </c>
      <c r="L638" s="21"/>
    </row>
    <row r="639" spans="1:22" ht="14.25" x14ac:dyDescent="0.2">
      <c r="A639" s="18"/>
      <c r="B639" s="18"/>
      <c r="C639" s="18"/>
      <c r="D639" s="18" t="s">
        <v>468</v>
      </c>
      <c r="E639" s="19" t="s">
        <v>466</v>
      </c>
      <c r="F639" s="9">
        <f>108</f>
        <v>108</v>
      </c>
      <c r="G639" s="21"/>
      <c r="H639" s="20"/>
      <c r="I639" s="9"/>
      <c r="J639" s="9"/>
      <c r="K639" s="21">
        <f>SUM(V631:V638)</f>
        <v>24.98</v>
      </c>
      <c r="L639" s="21"/>
    </row>
    <row r="640" spans="1:22" ht="14.25" x14ac:dyDescent="0.2">
      <c r="A640" s="18"/>
      <c r="B640" s="18"/>
      <c r="C640" s="18"/>
      <c r="D640" s="18" t="s">
        <v>469</v>
      </c>
      <c r="E640" s="19" t="s">
        <v>470</v>
      </c>
      <c r="F640" s="9">
        <f>Source!AQ520</f>
        <v>6</v>
      </c>
      <c r="G640" s="21"/>
      <c r="H640" s="20" t="str">
        <f>Source!DI520</f>
        <v>)*4</v>
      </c>
      <c r="I640" s="9">
        <f>Source!AV520</f>
        <v>1</v>
      </c>
      <c r="J640" s="9"/>
      <c r="K640" s="21"/>
      <c r="L640" s="21">
        <f>Source!U520</f>
        <v>0.24</v>
      </c>
    </row>
    <row r="641" spans="1:22" ht="15" x14ac:dyDescent="0.25">
      <c r="A641" s="26"/>
      <c r="B641" s="26"/>
      <c r="C641" s="26"/>
      <c r="D641" s="26"/>
      <c r="E641" s="26"/>
      <c r="F641" s="26"/>
      <c r="G641" s="26"/>
      <c r="H641" s="26"/>
      <c r="I641" s="26"/>
      <c r="J641" s="53">
        <f>K633+K634+K636+K637+K638+K639</f>
        <v>292.77</v>
      </c>
      <c r="K641" s="53"/>
      <c r="L641" s="27">
        <f>IF(Source!I520&lt;&gt;0, ROUND(J641/Source!I520, 2), 0)</f>
        <v>29277</v>
      </c>
      <c r="P641" s="24">
        <f>J641</f>
        <v>292.77</v>
      </c>
    </row>
    <row r="642" spans="1:22" ht="71.25" x14ac:dyDescent="0.2">
      <c r="A642" s="18">
        <v>64</v>
      </c>
      <c r="B642" s="18">
        <v>64</v>
      </c>
      <c r="C642" s="18" t="str">
        <f>Source!F522</f>
        <v>1.21-2303-37-1/1</v>
      </c>
      <c r="D642" s="18" t="str">
        <f>Source!G522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642" s="19" t="str">
        <f>Source!H522</f>
        <v>10 шт.</v>
      </c>
      <c r="F642" s="9">
        <f>Source!I522</f>
        <v>0.9</v>
      </c>
      <c r="G642" s="21"/>
      <c r="H642" s="20"/>
      <c r="I642" s="9"/>
      <c r="J642" s="9"/>
      <c r="K642" s="21"/>
      <c r="L642" s="21"/>
      <c r="Q642">
        <f>ROUND((Source!BZ522/100)*ROUND((Source!AF522*Source!AV522)*Source!I522, 2), 2)</f>
        <v>70.03</v>
      </c>
      <c r="R642">
        <f>Source!X522</f>
        <v>70.03</v>
      </c>
      <c r="S642">
        <f>ROUND((Source!CA522/100)*ROUND((Source!AF522*Source!AV522)*Source!I522, 2), 2)</f>
        <v>10</v>
      </c>
      <c r="T642">
        <f>Source!Y522</f>
        <v>10</v>
      </c>
      <c r="U642">
        <f>ROUND((175/100)*ROUND((Source!AE522*Source!AV522)*Source!I522, 2), 2)</f>
        <v>0</v>
      </c>
      <c r="V642">
        <f>ROUND((108/100)*ROUND(Source!CS522*Source!I522, 2), 2)</f>
        <v>0</v>
      </c>
    </row>
    <row r="643" spans="1:22" x14ac:dyDescent="0.2">
      <c r="D643" s="22" t="str">
        <f>"Объем: "&amp;Source!I522&amp;"=(9*"&amp;"1)/"&amp;"10"</f>
        <v>Объем: 0,9=(9*1)/10</v>
      </c>
    </row>
    <row r="644" spans="1:22" ht="14.25" x14ac:dyDescent="0.2">
      <c r="A644" s="18"/>
      <c r="B644" s="18"/>
      <c r="C644" s="18"/>
      <c r="D644" s="18" t="s">
        <v>461</v>
      </c>
      <c r="E644" s="19"/>
      <c r="F644" s="9"/>
      <c r="G644" s="21">
        <f>Source!AO522</f>
        <v>111.15</v>
      </c>
      <c r="H644" s="20" t="str">
        <f>Source!DG522</f>
        <v/>
      </c>
      <c r="I644" s="9">
        <f>Source!AV522</f>
        <v>1</v>
      </c>
      <c r="J644" s="9">
        <f>IF(Source!BA522&lt;&gt; 0, Source!BA522, 1)</f>
        <v>1</v>
      </c>
      <c r="K644" s="21">
        <f>Source!S522</f>
        <v>100.04</v>
      </c>
      <c r="L644" s="21"/>
    </row>
    <row r="645" spans="1:22" ht="14.25" x14ac:dyDescent="0.2">
      <c r="A645" s="18"/>
      <c r="B645" s="18"/>
      <c r="C645" s="18"/>
      <c r="D645" s="18" t="s">
        <v>464</v>
      </c>
      <c r="E645" s="19"/>
      <c r="F645" s="9"/>
      <c r="G645" s="21">
        <f>Source!AL522</f>
        <v>6.3</v>
      </c>
      <c r="H645" s="20" t="str">
        <f>Source!DD522</f>
        <v/>
      </c>
      <c r="I645" s="9">
        <f>Source!AW522</f>
        <v>1</v>
      </c>
      <c r="J645" s="9">
        <f>IF(Source!BC522&lt;&gt; 0, Source!BC522, 1)</f>
        <v>1</v>
      </c>
      <c r="K645" s="21">
        <f>Source!P522</f>
        <v>5.67</v>
      </c>
      <c r="L645" s="21"/>
    </row>
    <row r="646" spans="1:22" ht="14.25" x14ac:dyDescent="0.2">
      <c r="A646" s="18"/>
      <c r="B646" s="18"/>
      <c r="C646" s="18"/>
      <c r="D646" s="18" t="s">
        <v>465</v>
      </c>
      <c r="E646" s="19" t="s">
        <v>466</v>
      </c>
      <c r="F646" s="9">
        <f>Source!AT522</f>
        <v>70</v>
      </c>
      <c r="G646" s="21"/>
      <c r="H646" s="20"/>
      <c r="I646" s="9"/>
      <c r="J646" s="9"/>
      <c r="K646" s="21">
        <f>SUM(R642:R645)</f>
        <v>70.03</v>
      </c>
      <c r="L646" s="21"/>
    </row>
    <row r="647" spans="1:22" ht="14.25" x14ac:dyDescent="0.2">
      <c r="A647" s="18"/>
      <c r="B647" s="18"/>
      <c r="C647" s="18"/>
      <c r="D647" s="18" t="s">
        <v>467</v>
      </c>
      <c r="E647" s="19" t="s">
        <v>466</v>
      </c>
      <c r="F647" s="9">
        <f>Source!AU522</f>
        <v>10</v>
      </c>
      <c r="G647" s="21"/>
      <c r="H647" s="20"/>
      <c r="I647" s="9"/>
      <c r="J647" s="9"/>
      <c r="K647" s="21">
        <f>SUM(T642:T646)</f>
        <v>10</v>
      </c>
      <c r="L647" s="21"/>
    </row>
    <row r="648" spans="1:22" ht="14.25" x14ac:dyDescent="0.2">
      <c r="A648" s="18"/>
      <c r="B648" s="18"/>
      <c r="C648" s="18"/>
      <c r="D648" s="18" t="s">
        <v>469</v>
      </c>
      <c r="E648" s="19" t="s">
        <v>470</v>
      </c>
      <c r="F648" s="9">
        <f>Source!AQ522</f>
        <v>0.18</v>
      </c>
      <c r="G648" s="21"/>
      <c r="H648" s="20" t="str">
        <f>Source!DI522</f>
        <v/>
      </c>
      <c r="I648" s="9">
        <f>Source!AV522</f>
        <v>1</v>
      </c>
      <c r="J648" s="9"/>
      <c r="K648" s="21"/>
      <c r="L648" s="21">
        <f>Source!U522</f>
        <v>0.16200000000000001</v>
      </c>
    </row>
    <row r="649" spans="1:22" ht="15" x14ac:dyDescent="0.25">
      <c r="A649" s="26"/>
      <c r="B649" s="26"/>
      <c r="C649" s="26"/>
      <c r="D649" s="26"/>
      <c r="E649" s="26"/>
      <c r="F649" s="26"/>
      <c r="G649" s="26"/>
      <c r="H649" s="26"/>
      <c r="I649" s="26"/>
      <c r="J649" s="53">
        <f>K644+K645+K646+K647</f>
        <v>185.74</v>
      </c>
      <c r="K649" s="53"/>
      <c r="L649" s="27">
        <f>IF(Source!I522&lt;&gt;0, ROUND(J649/Source!I522, 2), 0)</f>
        <v>206.38</v>
      </c>
      <c r="P649" s="24">
        <f>J649</f>
        <v>185.74</v>
      </c>
    </row>
    <row r="650" spans="1:22" ht="57" x14ac:dyDescent="0.2">
      <c r="A650" s="18">
        <v>65</v>
      </c>
      <c r="B650" s="18">
        <v>65</v>
      </c>
      <c r="C650" s="18" t="str">
        <f>Source!F524</f>
        <v>1.21-2103-9-2/1</v>
      </c>
      <c r="D650" s="18" t="str">
        <f>Source!G524</f>
        <v>Техническое обслуживание силовых сетей, проложенных по кирпичным и бетонным основаниям, провод сечением 3х1,5-6 мм2 / прим. 3х2,5</v>
      </c>
      <c r="E650" s="19" t="str">
        <f>Source!H524</f>
        <v>100 м</v>
      </c>
      <c r="F650" s="9">
        <f>Source!I524</f>
        <v>8.0000000000000002E-3</v>
      </c>
      <c r="G650" s="21"/>
      <c r="H650" s="20"/>
      <c r="I650" s="9"/>
      <c r="J650" s="9"/>
      <c r="K650" s="21"/>
      <c r="L650" s="21"/>
      <c r="Q650">
        <f>ROUND((Source!BZ524/100)*ROUND((Source!AF524*Source!AV524)*Source!I524, 2), 2)</f>
        <v>29.98</v>
      </c>
      <c r="R650">
        <f>Source!X524</f>
        <v>29.98</v>
      </c>
      <c r="S650">
        <f>ROUND((Source!CA524/100)*ROUND((Source!AF524*Source!AV524)*Source!I524, 2), 2)</f>
        <v>4.28</v>
      </c>
      <c r="T650">
        <f>Source!Y524</f>
        <v>4.28</v>
      </c>
      <c r="U650">
        <f>ROUND((175/100)*ROUND((Source!AE524*Source!AV524)*Source!I524, 2), 2)</f>
        <v>0</v>
      </c>
      <c r="V650">
        <f>ROUND((108/100)*ROUND(Source!CS524*Source!I524, 2), 2)</f>
        <v>0</v>
      </c>
    </row>
    <row r="651" spans="1:22" x14ac:dyDescent="0.2">
      <c r="D651" s="22" t="str">
        <f>"Объем: "&amp;Source!I524&amp;"=(40*"&amp;"1)*"&amp;"0,2*"&amp;"0,1/"&amp;"100"</f>
        <v>Объем: 0,008=(40*1)*0,2*0,1/100</v>
      </c>
    </row>
    <row r="652" spans="1:22" ht="14.25" x14ac:dyDescent="0.2">
      <c r="A652" s="18"/>
      <c r="B652" s="18"/>
      <c r="C652" s="18"/>
      <c r="D652" s="18" t="s">
        <v>461</v>
      </c>
      <c r="E652" s="19"/>
      <c r="F652" s="9"/>
      <c r="G652" s="21">
        <f>Source!AO524</f>
        <v>5353.15</v>
      </c>
      <c r="H652" s="20" t="str">
        <f>Source!DG524</f>
        <v/>
      </c>
      <c r="I652" s="9">
        <f>Source!AV524</f>
        <v>1</v>
      </c>
      <c r="J652" s="9">
        <f>IF(Source!BA524&lt;&gt; 0, Source!BA524, 1)</f>
        <v>1</v>
      </c>
      <c r="K652" s="21">
        <f>Source!S524</f>
        <v>42.83</v>
      </c>
      <c r="L652" s="21"/>
    </row>
    <row r="653" spans="1:22" ht="14.25" x14ac:dyDescent="0.2">
      <c r="A653" s="18"/>
      <c r="B653" s="18"/>
      <c r="C653" s="18"/>
      <c r="D653" s="18" t="s">
        <v>464</v>
      </c>
      <c r="E653" s="19"/>
      <c r="F653" s="9"/>
      <c r="G653" s="21">
        <f>Source!AL524</f>
        <v>22.51</v>
      </c>
      <c r="H653" s="20" t="str">
        <f>Source!DD524</f>
        <v/>
      </c>
      <c r="I653" s="9">
        <f>Source!AW524</f>
        <v>1</v>
      </c>
      <c r="J653" s="9">
        <f>IF(Source!BC524&lt;&gt; 0, Source!BC524, 1)</f>
        <v>1</v>
      </c>
      <c r="K653" s="21">
        <f>Source!P524</f>
        <v>0.18</v>
      </c>
      <c r="L653" s="21"/>
    </row>
    <row r="654" spans="1:22" ht="14.25" x14ac:dyDescent="0.2">
      <c r="A654" s="18"/>
      <c r="B654" s="18"/>
      <c r="C654" s="18"/>
      <c r="D654" s="18" t="s">
        <v>465</v>
      </c>
      <c r="E654" s="19" t="s">
        <v>466</v>
      </c>
      <c r="F654" s="9">
        <f>Source!AT524</f>
        <v>70</v>
      </c>
      <c r="G654" s="21"/>
      <c r="H654" s="20"/>
      <c r="I654" s="9"/>
      <c r="J654" s="9"/>
      <c r="K654" s="21">
        <f>SUM(R650:R653)</f>
        <v>29.98</v>
      </c>
      <c r="L654" s="21"/>
    </row>
    <row r="655" spans="1:22" ht="14.25" x14ac:dyDescent="0.2">
      <c r="A655" s="18"/>
      <c r="B655" s="18"/>
      <c r="C655" s="18"/>
      <c r="D655" s="18" t="s">
        <v>467</v>
      </c>
      <c r="E655" s="19" t="s">
        <v>466</v>
      </c>
      <c r="F655" s="9">
        <f>Source!AU524</f>
        <v>10</v>
      </c>
      <c r="G655" s="21"/>
      <c r="H655" s="20"/>
      <c r="I655" s="9"/>
      <c r="J655" s="9"/>
      <c r="K655" s="21">
        <f>SUM(T650:T654)</f>
        <v>4.28</v>
      </c>
      <c r="L655" s="21"/>
    </row>
    <row r="656" spans="1:22" ht="14.25" x14ac:dyDescent="0.2">
      <c r="A656" s="18"/>
      <c r="B656" s="18"/>
      <c r="C656" s="18"/>
      <c r="D656" s="18" t="s">
        <v>469</v>
      </c>
      <c r="E656" s="19" t="s">
        <v>470</v>
      </c>
      <c r="F656" s="9">
        <f>Source!AQ524</f>
        <v>10</v>
      </c>
      <c r="G656" s="21"/>
      <c r="H656" s="20" t="str">
        <f>Source!DI524</f>
        <v/>
      </c>
      <c r="I656" s="9">
        <f>Source!AV524</f>
        <v>1</v>
      </c>
      <c r="J656" s="9"/>
      <c r="K656" s="21"/>
      <c r="L656" s="21">
        <f>Source!U524</f>
        <v>0.08</v>
      </c>
    </row>
    <row r="657" spans="1:22" ht="15" x14ac:dyDescent="0.25">
      <c r="A657" s="26"/>
      <c r="B657" s="26"/>
      <c r="C657" s="26"/>
      <c r="D657" s="26"/>
      <c r="E657" s="26"/>
      <c r="F657" s="26"/>
      <c r="G657" s="26"/>
      <c r="H657" s="26"/>
      <c r="I657" s="26"/>
      <c r="J657" s="53">
        <f>K652+K653+K654+K655</f>
        <v>77.27</v>
      </c>
      <c r="K657" s="53"/>
      <c r="L657" s="27">
        <f>IF(Source!I524&lt;&gt;0, ROUND(J657/Source!I524, 2), 0)</f>
        <v>9658.75</v>
      </c>
      <c r="P657" s="24">
        <f>J657</f>
        <v>77.27</v>
      </c>
    </row>
    <row r="658" spans="1:22" ht="57" x14ac:dyDescent="0.2">
      <c r="A658" s="18">
        <v>66</v>
      </c>
      <c r="B658" s="18">
        <v>66</v>
      </c>
      <c r="C658" s="18" t="str">
        <f>Source!F526</f>
        <v>1.21-2103-9-2/1</v>
      </c>
      <c r="D658" s="18" t="str">
        <f>Source!G526</f>
        <v>Техническое обслуживание силовых сетей, проложенных по кирпичным и бетонным основаниям, провод сечением 3х1,5-6 мм2</v>
      </c>
      <c r="E658" s="19" t="str">
        <f>Source!H526</f>
        <v>100 м</v>
      </c>
      <c r="F658" s="9">
        <f>Source!I526</f>
        <v>6.0000000000000001E-3</v>
      </c>
      <c r="G658" s="21"/>
      <c r="H658" s="20"/>
      <c r="I658" s="9"/>
      <c r="J658" s="9"/>
      <c r="K658" s="21"/>
      <c r="L658" s="21"/>
      <c r="Q658">
        <f>ROUND((Source!BZ526/100)*ROUND((Source!AF526*Source!AV526)*Source!I526, 2), 2)</f>
        <v>22.48</v>
      </c>
      <c r="R658">
        <f>Source!X526</f>
        <v>22.48</v>
      </c>
      <c r="S658">
        <f>ROUND((Source!CA526/100)*ROUND((Source!AF526*Source!AV526)*Source!I526, 2), 2)</f>
        <v>3.21</v>
      </c>
      <c r="T658">
        <f>Source!Y526</f>
        <v>3.21</v>
      </c>
      <c r="U658">
        <f>ROUND((175/100)*ROUND((Source!AE526*Source!AV526)*Source!I526, 2), 2)</f>
        <v>0</v>
      </c>
      <c r="V658">
        <f>ROUND((108/100)*ROUND(Source!CS526*Source!I526, 2), 2)</f>
        <v>0</v>
      </c>
    </row>
    <row r="659" spans="1:22" x14ac:dyDescent="0.2">
      <c r="D659" s="22" t="str">
        <f>"Объем: "&amp;Source!I526&amp;"=(30*"&amp;"1)*"&amp;"0,2*"&amp;"0,1/"&amp;"100"</f>
        <v>Объем: 0,006=(30*1)*0,2*0,1/100</v>
      </c>
    </row>
    <row r="660" spans="1:22" ht="14.25" x14ac:dyDescent="0.2">
      <c r="A660" s="18"/>
      <c r="B660" s="18"/>
      <c r="C660" s="18"/>
      <c r="D660" s="18" t="s">
        <v>461</v>
      </c>
      <c r="E660" s="19"/>
      <c r="F660" s="9"/>
      <c r="G660" s="21">
        <f>Source!AO526</f>
        <v>5353.15</v>
      </c>
      <c r="H660" s="20" t="str">
        <f>Source!DG526</f>
        <v/>
      </c>
      <c r="I660" s="9">
        <f>Source!AV526</f>
        <v>1</v>
      </c>
      <c r="J660" s="9">
        <f>IF(Source!BA526&lt;&gt; 0, Source!BA526, 1)</f>
        <v>1</v>
      </c>
      <c r="K660" s="21">
        <f>Source!S526</f>
        <v>32.119999999999997</v>
      </c>
      <c r="L660" s="21"/>
    </row>
    <row r="661" spans="1:22" ht="14.25" x14ac:dyDescent="0.2">
      <c r="A661" s="18"/>
      <c r="B661" s="18"/>
      <c r="C661" s="18"/>
      <c r="D661" s="18" t="s">
        <v>464</v>
      </c>
      <c r="E661" s="19"/>
      <c r="F661" s="9"/>
      <c r="G661" s="21">
        <f>Source!AL526</f>
        <v>22.51</v>
      </c>
      <c r="H661" s="20" t="str">
        <f>Source!DD526</f>
        <v/>
      </c>
      <c r="I661" s="9">
        <f>Source!AW526</f>
        <v>1</v>
      </c>
      <c r="J661" s="9">
        <f>IF(Source!BC526&lt;&gt; 0, Source!BC526, 1)</f>
        <v>1</v>
      </c>
      <c r="K661" s="21">
        <f>Source!P526</f>
        <v>0.14000000000000001</v>
      </c>
      <c r="L661" s="21"/>
    </row>
    <row r="662" spans="1:22" ht="14.25" x14ac:dyDescent="0.2">
      <c r="A662" s="18"/>
      <c r="B662" s="18"/>
      <c r="C662" s="18"/>
      <c r="D662" s="18" t="s">
        <v>465</v>
      </c>
      <c r="E662" s="19" t="s">
        <v>466</v>
      </c>
      <c r="F662" s="9">
        <f>Source!AT526</f>
        <v>70</v>
      </c>
      <c r="G662" s="21"/>
      <c r="H662" s="20"/>
      <c r="I662" s="9"/>
      <c r="J662" s="9"/>
      <c r="K662" s="21">
        <f>SUM(R658:R661)</f>
        <v>22.48</v>
      </c>
      <c r="L662" s="21"/>
    </row>
    <row r="663" spans="1:22" ht="14.25" x14ac:dyDescent="0.2">
      <c r="A663" s="18"/>
      <c r="B663" s="18"/>
      <c r="C663" s="18"/>
      <c r="D663" s="18" t="s">
        <v>467</v>
      </c>
      <c r="E663" s="19" t="s">
        <v>466</v>
      </c>
      <c r="F663" s="9">
        <f>Source!AU526</f>
        <v>10</v>
      </c>
      <c r="G663" s="21"/>
      <c r="H663" s="20"/>
      <c r="I663" s="9"/>
      <c r="J663" s="9"/>
      <c r="K663" s="21">
        <f>SUM(T658:T662)</f>
        <v>3.21</v>
      </c>
      <c r="L663" s="21"/>
    </row>
    <row r="664" spans="1:22" ht="14.25" x14ac:dyDescent="0.2">
      <c r="A664" s="18"/>
      <c r="B664" s="18"/>
      <c r="C664" s="18"/>
      <c r="D664" s="18" t="s">
        <v>469</v>
      </c>
      <c r="E664" s="19" t="s">
        <v>470</v>
      </c>
      <c r="F664" s="9">
        <f>Source!AQ526</f>
        <v>10</v>
      </c>
      <c r="G664" s="21"/>
      <c r="H664" s="20" t="str">
        <f>Source!DI526</f>
        <v/>
      </c>
      <c r="I664" s="9">
        <f>Source!AV526</f>
        <v>1</v>
      </c>
      <c r="J664" s="9"/>
      <c r="K664" s="21"/>
      <c r="L664" s="21">
        <f>Source!U526</f>
        <v>0.06</v>
      </c>
    </row>
    <row r="665" spans="1:22" ht="15" x14ac:dyDescent="0.25">
      <c r="A665" s="26"/>
      <c r="B665" s="26"/>
      <c r="C665" s="26"/>
      <c r="D665" s="26"/>
      <c r="E665" s="26"/>
      <c r="F665" s="26"/>
      <c r="G665" s="26"/>
      <c r="H665" s="26"/>
      <c r="I665" s="26"/>
      <c r="J665" s="53">
        <f>K660+K661+K662+K663</f>
        <v>57.949999999999996</v>
      </c>
      <c r="K665" s="53"/>
      <c r="L665" s="27">
        <f>IF(Source!I526&lt;&gt;0, ROUND(J665/Source!I526, 2), 0)</f>
        <v>9658.33</v>
      </c>
      <c r="P665" s="24">
        <f>J665</f>
        <v>57.949999999999996</v>
      </c>
    </row>
    <row r="667" spans="1:22" ht="15" x14ac:dyDescent="0.25">
      <c r="A667" s="57" t="str">
        <f>CONCATENATE("Итого по подразделу: ",IF(Source!G529&lt;&gt;"Новый подраздел", Source!G529, ""))</f>
        <v>Итого по подразделу: Электрооборудование</v>
      </c>
      <c r="B667" s="57"/>
      <c r="C667" s="57"/>
      <c r="D667" s="57"/>
      <c r="E667" s="57"/>
      <c r="F667" s="57"/>
      <c r="G667" s="57"/>
      <c r="H667" s="57"/>
      <c r="I667" s="57"/>
      <c r="J667" s="55">
        <f>SUM(P583:P666)</f>
        <v>37578.079999999987</v>
      </c>
      <c r="K667" s="56"/>
      <c r="L667" s="28"/>
    </row>
    <row r="670" spans="1:22" ht="15" x14ac:dyDescent="0.25">
      <c r="A670" s="57" t="str">
        <f>CONCATENATE("Итого по разделу: ",IF(Source!G559&lt;&gt;"Новый раздел", Source!G559, ""))</f>
        <v>Итого по разделу: Туалетный модуль 2 кабины с сололифтами (1 шт.)</v>
      </c>
      <c r="B670" s="57"/>
      <c r="C670" s="57"/>
      <c r="D670" s="57"/>
      <c r="E670" s="57"/>
      <c r="F670" s="57"/>
      <c r="G670" s="57"/>
      <c r="H670" s="57"/>
      <c r="I670" s="57"/>
      <c r="J670" s="55">
        <f>SUM(P471:P669)</f>
        <v>78125.040000000008</v>
      </c>
      <c r="K670" s="56"/>
      <c r="L670" s="28"/>
    </row>
    <row r="673" spans="1:22" ht="16.5" x14ac:dyDescent="0.25">
      <c r="A673" s="54" t="str">
        <f>CONCATENATE("Раздел: ",IF(Source!G589&lt;&gt;"Новый раздел", Source!G589, ""))</f>
        <v>Раздел: Офис-продакшн  5 шт.</v>
      </c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</row>
    <row r="675" spans="1:22" ht="16.5" x14ac:dyDescent="0.25">
      <c r="A675" s="54" t="str">
        <f>CONCATENATE("Подраздел: ",IF(Source!G593&lt;&gt;"Новый подраздел", Source!G593, ""))</f>
        <v>Подраздел: Оборудование водоснабжения и водоотведения</v>
      </c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</row>
    <row r="676" spans="1:22" ht="42.75" x14ac:dyDescent="0.2">
      <c r="A676" s="18">
        <v>67</v>
      </c>
      <c r="B676" s="18">
        <v>67</v>
      </c>
      <c r="C676" s="18" t="str">
        <f>Source!F597</f>
        <v>1.21-2303-24-1/1</v>
      </c>
      <c r="D676" s="18" t="str">
        <f>Source!G597</f>
        <v>Техническое обслуживание электроводонагревателей объемом до 80 литров</v>
      </c>
      <c r="E676" s="19" t="str">
        <f>Source!H597</f>
        <v>шт.</v>
      </c>
      <c r="F676" s="9">
        <f>Source!I597</f>
        <v>5</v>
      </c>
      <c r="G676" s="21"/>
      <c r="H676" s="20"/>
      <c r="I676" s="9"/>
      <c r="J676" s="9"/>
      <c r="K676" s="21"/>
      <c r="L676" s="21"/>
      <c r="Q676">
        <f>ROUND((Source!BZ597/100)*ROUND((Source!AF597*Source!AV597)*Source!I597, 2), 2)</f>
        <v>4354.1099999999997</v>
      </c>
      <c r="R676">
        <f>Source!X597</f>
        <v>4354.1099999999997</v>
      </c>
      <c r="S676">
        <f>ROUND((Source!CA597/100)*ROUND((Source!AF597*Source!AV597)*Source!I597, 2), 2)</f>
        <v>622.02</v>
      </c>
      <c r="T676">
        <f>Source!Y597</f>
        <v>622.02</v>
      </c>
      <c r="U676">
        <f>ROUND((175/100)*ROUND((Source!AE597*Source!AV597)*Source!I597, 2), 2)</f>
        <v>7829.24</v>
      </c>
      <c r="V676">
        <f>ROUND((108/100)*ROUND(Source!CS597*Source!I597, 2), 2)</f>
        <v>4831.76</v>
      </c>
    </row>
    <row r="677" spans="1:22" ht="14.25" x14ac:dyDescent="0.2">
      <c r="A677" s="18"/>
      <c r="B677" s="18"/>
      <c r="C677" s="18"/>
      <c r="D677" s="18" t="s">
        <v>461</v>
      </c>
      <c r="E677" s="19"/>
      <c r="F677" s="9"/>
      <c r="G677" s="21">
        <f>Source!AO597</f>
        <v>1244.03</v>
      </c>
      <c r="H677" s="20" t="str">
        <f>Source!DG597</f>
        <v/>
      </c>
      <c r="I677" s="9">
        <f>Source!AV597</f>
        <v>1</v>
      </c>
      <c r="J677" s="9">
        <f>IF(Source!BA597&lt;&gt; 0, Source!BA597, 1)</f>
        <v>1</v>
      </c>
      <c r="K677" s="21">
        <f>Source!S597</f>
        <v>6220.15</v>
      </c>
      <c r="L677" s="21"/>
    </row>
    <row r="678" spans="1:22" ht="14.25" x14ac:dyDescent="0.2">
      <c r="A678" s="18"/>
      <c r="B678" s="18"/>
      <c r="C678" s="18"/>
      <c r="D678" s="18" t="s">
        <v>462</v>
      </c>
      <c r="E678" s="19"/>
      <c r="F678" s="9"/>
      <c r="G678" s="21">
        <f>Source!AM597</f>
        <v>1411.16</v>
      </c>
      <c r="H678" s="20" t="str">
        <f>Source!DE597</f>
        <v/>
      </c>
      <c r="I678" s="9">
        <f>Source!AV597</f>
        <v>1</v>
      </c>
      <c r="J678" s="9">
        <f>IF(Source!BB597&lt;&gt; 0, Source!BB597, 1)</f>
        <v>1</v>
      </c>
      <c r="K678" s="21">
        <f>Source!Q597</f>
        <v>7055.8</v>
      </c>
      <c r="L678" s="21"/>
    </row>
    <row r="679" spans="1:22" ht="14.25" x14ac:dyDescent="0.2">
      <c r="A679" s="18"/>
      <c r="B679" s="18"/>
      <c r="C679" s="18"/>
      <c r="D679" s="18" t="s">
        <v>463</v>
      </c>
      <c r="E679" s="19"/>
      <c r="F679" s="9"/>
      <c r="G679" s="21">
        <f>Source!AN597</f>
        <v>894.77</v>
      </c>
      <c r="H679" s="20" t="str">
        <f>Source!DF597</f>
        <v/>
      </c>
      <c r="I679" s="9">
        <f>Source!AV597</f>
        <v>1</v>
      </c>
      <c r="J679" s="9">
        <f>IF(Source!BS597&lt;&gt; 0, Source!BS597, 1)</f>
        <v>1</v>
      </c>
      <c r="K679" s="23">
        <f>Source!R597</f>
        <v>4473.8500000000004</v>
      </c>
      <c r="L679" s="21"/>
    </row>
    <row r="680" spans="1:22" ht="14.25" x14ac:dyDescent="0.2">
      <c r="A680" s="18"/>
      <c r="B680" s="18"/>
      <c r="C680" s="18"/>
      <c r="D680" s="18" t="s">
        <v>464</v>
      </c>
      <c r="E680" s="19"/>
      <c r="F680" s="9"/>
      <c r="G680" s="21">
        <f>Source!AL597</f>
        <v>0.63</v>
      </c>
      <c r="H680" s="20" t="str">
        <f>Source!DD597</f>
        <v/>
      </c>
      <c r="I680" s="9">
        <f>Source!AW597</f>
        <v>1</v>
      </c>
      <c r="J680" s="9">
        <f>IF(Source!BC597&lt;&gt; 0, Source!BC597, 1)</f>
        <v>1</v>
      </c>
      <c r="K680" s="21">
        <f>Source!P597</f>
        <v>3.15</v>
      </c>
      <c r="L680" s="21"/>
    </row>
    <row r="681" spans="1:22" ht="14.25" x14ac:dyDescent="0.2">
      <c r="A681" s="18"/>
      <c r="B681" s="18"/>
      <c r="C681" s="18"/>
      <c r="D681" s="18" t="s">
        <v>465</v>
      </c>
      <c r="E681" s="19" t="s">
        <v>466</v>
      </c>
      <c r="F681" s="9">
        <f>Source!AT597</f>
        <v>70</v>
      </c>
      <c r="G681" s="21"/>
      <c r="H681" s="20"/>
      <c r="I681" s="9"/>
      <c r="J681" s="9"/>
      <c r="K681" s="21">
        <f>SUM(R676:R680)</f>
        <v>4354.1099999999997</v>
      </c>
      <c r="L681" s="21"/>
    </row>
    <row r="682" spans="1:22" ht="14.25" x14ac:dyDescent="0.2">
      <c r="A682" s="18"/>
      <c r="B682" s="18"/>
      <c r="C682" s="18"/>
      <c r="D682" s="18" t="s">
        <v>467</v>
      </c>
      <c r="E682" s="19" t="s">
        <v>466</v>
      </c>
      <c r="F682" s="9">
        <f>Source!AU597</f>
        <v>10</v>
      </c>
      <c r="G682" s="21"/>
      <c r="H682" s="20"/>
      <c r="I682" s="9"/>
      <c r="J682" s="9"/>
      <c r="K682" s="21">
        <f>SUM(T676:T681)</f>
        <v>622.02</v>
      </c>
      <c r="L682" s="21"/>
    </row>
    <row r="683" spans="1:22" ht="14.25" x14ac:dyDescent="0.2">
      <c r="A683" s="18"/>
      <c r="B683" s="18"/>
      <c r="C683" s="18"/>
      <c r="D683" s="18" t="s">
        <v>468</v>
      </c>
      <c r="E683" s="19" t="s">
        <v>466</v>
      </c>
      <c r="F683" s="9">
        <f>108</f>
        <v>108</v>
      </c>
      <c r="G683" s="21"/>
      <c r="H683" s="20"/>
      <c r="I683" s="9"/>
      <c r="J683" s="9"/>
      <c r="K683" s="21">
        <f>SUM(V676:V682)</f>
        <v>4831.76</v>
      </c>
      <c r="L683" s="21"/>
    </row>
    <row r="684" spans="1:22" ht="14.25" x14ac:dyDescent="0.2">
      <c r="A684" s="18"/>
      <c r="B684" s="18"/>
      <c r="C684" s="18"/>
      <c r="D684" s="18" t="s">
        <v>469</v>
      </c>
      <c r="E684" s="19" t="s">
        <v>470</v>
      </c>
      <c r="F684" s="9">
        <f>Source!AQ597</f>
        <v>1.75</v>
      </c>
      <c r="G684" s="21"/>
      <c r="H684" s="20" t="str">
        <f>Source!DI597</f>
        <v/>
      </c>
      <c r="I684" s="9">
        <f>Source!AV597</f>
        <v>1</v>
      </c>
      <c r="J684" s="9"/>
      <c r="K684" s="21"/>
      <c r="L684" s="21">
        <f>Source!U597</f>
        <v>8.75</v>
      </c>
    </row>
    <row r="685" spans="1:22" ht="15" x14ac:dyDescent="0.25">
      <c r="A685" s="26"/>
      <c r="B685" s="26"/>
      <c r="C685" s="26"/>
      <c r="D685" s="26"/>
      <c r="E685" s="26"/>
      <c r="F685" s="26"/>
      <c r="G685" s="26"/>
      <c r="H685" s="26"/>
      <c r="I685" s="26"/>
      <c r="J685" s="53">
        <f>K677+K678+K680+K681+K682+K683</f>
        <v>23086.989999999998</v>
      </c>
      <c r="K685" s="53"/>
      <c r="L685" s="27">
        <f>IF(Source!I597&lt;&gt;0, ROUND(J685/Source!I597, 2), 0)</f>
        <v>4617.3999999999996</v>
      </c>
      <c r="P685" s="24">
        <f>J685</f>
        <v>23086.989999999998</v>
      </c>
    </row>
    <row r="686" spans="1:22" ht="42.75" x14ac:dyDescent="0.2">
      <c r="A686" s="18">
        <v>68</v>
      </c>
      <c r="B686" s="18">
        <v>68</v>
      </c>
      <c r="C686" s="18" t="str">
        <f>Source!F598</f>
        <v>1.24-2103-16-1/1</v>
      </c>
      <c r="D686" s="18" t="str">
        <f>Source!G598</f>
        <v>Техническое обслуживание погружных насосов мощностью от 2,1 кВт до 16 кВт / прим.</v>
      </c>
      <c r="E686" s="19" t="str">
        <f>Source!H598</f>
        <v>шт.</v>
      </c>
      <c r="F686" s="9">
        <f>Source!I598</f>
        <v>5</v>
      </c>
      <c r="G686" s="21"/>
      <c r="H686" s="20"/>
      <c r="I686" s="9"/>
      <c r="J686" s="9"/>
      <c r="K686" s="21"/>
      <c r="L686" s="21"/>
      <c r="Q686">
        <f>ROUND((Source!BZ598/100)*ROUND((Source!AF598*Source!AV598)*Source!I598, 2), 2)</f>
        <v>13351.21</v>
      </c>
      <c r="R686">
        <f>Source!X598</f>
        <v>13351.21</v>
      </c>
      <c r="S686">
        <f>ROUND((Source!CA598/100)*ROUND((Source!AF598*Source!AV598)*Source!I598, 2), 2)</f>
        <v>1907.32</v>
      </c>
      <c r="T686">
        <f>Source!Y598</f>
        <v>1907.32</v>
      </c>
      <c r="U686">
        <f>ROUND((175/100)*ROUND((Source!AE598*Source!AV598)*Source!I598, 2), 2)</f>
        <v>9.89</v>
      </c>
      <c r="V686">
        <f>ROUND((108/100)*ROUND(Source!CS598*Source!I598, 2), 2)</f>
        <v>6.1</v>
      </c>
    </row>
    <row r="687" spans="1:22" ht="14.25" x14ac:dyDescent="0.2">
      <c r="A687" s="18"/>
      <c r="B687" s="18"/>
      <c r="C687" s="18"/>
      <c r="D687" s="18" t="s">
        <v>461</v>
      </c>
      <c r="E687" s="19"/>
      <c r="F687" s="9"/>
      <c r="G687" s="21">
        <f>Source!AO598</f>
        <v>3814.63</v>
      </c>
      <c r="H687" s="20" t="str">
        <f>Source!DG598</f>
        <v/>
      </c>
      <c r="I687" s="9">
        <f>Source!AV598</f>
        <v>1</v>
      </c>
      <c r="J687" s="9">
        <f>IF(Source!BA598&lt;&gt; 0, Source!BA598, 1)</f>
        <v>1</v>
      </c>
      <c r="K687" s="21">
        <f>Source!S598</f>
        <v>19073.150000000001</v>
      </c>
      <c r="L687" s="21"/>
    </row>
    <row r="688" spans="1:22" ht="14.25" x14ac:dyDescent="0.2">
      <c r="A688" s="18"/>
      <c r="B688" s="18"/>
      <c r="C688" s="18"/>
      <c r="D688" s="18" t="s">
        <v>462</v>
      </c>
      <c r="E688" s="19"/>
      <c r="F688" s="9"/>
      <c r="G688" s="21">
        <f>Source!AM598</f>
        <v>26.53</v>
      </c>
      <c r="H688" s="20" t="str">
        <f>Source!DE598</f>
        <v/>
      </c>
      <c r="I688" s="9">
        <f>Source!AV598</f>
        <v>1</v>
      </c>
      <c r="J688" s="9">
        <f>IF(Source!BB598&lt;&gt; 0, Source!BB598, 1)</f>
        <v>1</v>
      </c>
      <c r="K688" s="21">
        <f>Source!Q598</f>
        <v>132.65</v>
      </c>
      <c r="L688" s="21"/>
    </row>
    <row r="689" spans="1:22" ht="14.25" x14ac:dyDescent="0.2">
      <c r="A689" s="18"/>
      <c r="B689" s="18"/>
      <c r="C689" s="18"/>
      <c r="D689" s="18" t="s">
        <v>463</v>
      </c>
      <c r="E689" s="19"/>
      <c r="F689" s="9"/>
      <c r="G689" s="21">
        <f>Source!AN598</f>
        <v>1.1299999999999999</v>
      </c>
      <c r="H689" s="20" t="str">
        <f>Source!DF598</f>
        <v/>
      </c>
      <c r="I689" s="9">
        <f>Source!AV598</f>
        <v>1</v>
      </c>
      <c r="J689" s="9">
        <f>IF(Source!BS598&lt;&gt; 0, Source!BS598, 1)</f>
        <v>1</v>
      </c>
      <c r="K689" s="23">
        <f>Source!R598</f>
        <v>5.65</v>
      </c>
      <c r="L689" s="21"/>
    </row>
    <row r="690" spans="1:22" ht="14.25" x14ac:dyDescent="0.2">
      <c r="A690" s="18"/>
      <c r="B690" s="18"/>
      <c r="C690" s="18"/>
      <c r="D690" s="18" t="s">
        <v>464</v>
      </c>
      <c r="E690" s="19"/>
      <c r="F690" s="9"/>
      <c r="G690" s="21">
        <f>Source!AL598</f>
        <v>5881.34</v>
      </c>
      <c r="H690" s="20" t="str">
        <f>Source!DD598</f>
        <v/>
      </c>
      <c r="I690" s="9">
        <f>Source!AW598</f>
        <v>1</v>
      </c>
      <c r="J690" s="9">
        <f>IF(Source!BC598&lt;&gt; 0, Source!BC598, 1)</f>
        <v>1</v>
      </c>
      <c r="K690" s="21">
        <f>Source!P598</f>
        <v>29406.7</v>
      </c>
      <c r="L690" s="21"/>
    </row>
    <row r="691" spans="1:22" ht="14.25" x14ac:dyDescent="0.2">
      <c r="A691" s="18"/>
      <c r="B691" s="18"/>
      <c r="C691" s="18"/>
      <c r="D691" s="18" t="s">
        <v>465</v>
      </c>
      <c r="E691" s="19" t="s">
        <v>466</v>
      </c>
      <c r="F691" s="9">
        <f>Source!AT598</f>
        <v>70</v>
      </c>
      <c r="G691" s="21"/>
      <c r="H691" s="20"/>
      <c r="I691" s="9"/>
      <c r="J691" s="9"/>
      <c r="K691" s="21">
        <f>SUM(R686:R690)</f>
        <v>13351.21</v>
      </c>
      <c r="L691" s="21"/>
    </row>
    <row r="692" spans="1:22" ht="14.25" x14ac:dyDescent="0.2">
      <c r="A692" s="18"/>
      <c r="B692" s="18"/>
      <c r="C692" s="18"/>
      <c r="D692" s="18" t="s">
        <v>467</v>
      </c>
      <c r="E692" s="19" t="s">
        <v>466</v>
      </c>
      <c r="F692" s="9">
        <f>Source!AU598</f>
        <v>10</v>
      </c>
      <c r="G692" s="21"/>
      <c r="H692" s="20"/>
      <c r="I692" s="9"/>
      <c r="J692" s="9"/>
      <c r="K692" s="21">
        <f>SUM(T686:T691)</f>
        <v>1907.32</v>
      </c>
      <c r="L692" s="21"/>
    </row>
    <row r="693" spans="1:22" ht="14.25" x14ac:dyDescent="0.2">
      <c r="A693" s="18"/>
      <c r="B693" s="18"/>
      <c r="C693" s="18"/>
      <c r="D693" s="18" t="s">
        <v>468</v>
      </c>
      <c r="E693" s="19" t="s">
        <v>466</v>
      </c>
      <c r="F693" s="9">
        <f>108</f>
        <v>108</v>
      </c>
      <c r="G693" s="21"/>
      <c r="H693" s="20"/>
      <c r="I693" s="9"/>
      <c r="J693" s="9"/>
      <c r="K693" s="21">
        <f>SUM(V686:V692)</f>
        <v>6.1</v>
      </c>
      <c r="L693" s="21"/>
    </row>
    <row r="694" spans="1:22" ht="14.25" x14ac:dyDescent="0.2">
      <c r="A694" s="18"/>
      <c r="B694" s="18"/>
      <c r="C694" s="18"/>
      <c r="D694" s="18" t="s">
        <v>469</v>
      </c>
      <c r="E694" s="19" t="s">
        <v>470</v>
      </c>
      <c r="F694" s="9">
        <f>Source!AQ598</f>
        <v>5.7</v>
      </c>
      <c r="G694" s="21"/>
      <c r="H694" s="20" t="str">
        <f>Source!DI598</f>
        <v/>
      </c>
      <c r="I694" s="9">
        <f>Source!AV598</f>
        <v>1</v>
      </c>
      <c r="J694" s="9"/>
      <c r="K694" s="21"/>
      <c r="L694" s="21">
        <f>Source!U598</f>
        <v>28.5</v>
      </c>
    </row>
    <row r="695" spans="1:22" ht="15" x14ac:dyDescent="0.25">
      <c r="A695" s="26"/>
      <c r="B695" s="26"/>
      <c r="C695" s="26"/>
      <c r="D695" s="26"/>
      <c r="E695" s="26"/>
      <c r="F695" s="26"/>
      <c r="G695" s="26"/>
      <c r="H695" s="26"/>
      <c r="I695" s="26"/>
      <c r="J695" s="53">
        <f>K687+K688+K690+K691+K692+K693</f>
        <v>63877.13</v>
      </c>
      <c r="K695" s="53"/>
      <c r="L695" s="27">
        <f>IF(Source!I598&lt;&gt;0, ROUND(J695/Source!I598, 2), 0)</f>
        <v>12775.43</v>
      </c>
      <c r="P695" s="24">
        <f>J695</f>
        <v>63877.13</v>
      </c>
    </row>
    <row r="696" spans="1:22" ht="28.5" x14ac:dyDescent="0.2">
      <c r="A696" s="18">
        <v>69</v>
      </c>
      <c r="B696" s="18">
        <v>69</v>
      </c>
      <c r="C696" s="18" t="str">
        <f>Source!F601</f>
        <v>1.16-3201-2-1/1</v>
      </c>
      <c r="D696" s="18" t="str">
        <f>Source!G601</f>
        <v>Укрепление расшатавшихся санитарно-технических приборов - умывальники</v>
      </c>
      <c r="E696" s="19" t="str">
        <f>Source!H601</f>
        <v>100 шт.</v>
      </c>
      <c r="F696" s="9">
        <f>Source!I601</f>
        <v>0.05</v>
      </c>
      <c r="G696" s="21"/>
      <c r="H696" s="20"/>
      <c r="I696" s="9"/>
      <c r="J696" s="9"/>
      <c r="K696" s="21"/>
      <c r="L696" s="21"/>
      <c r="Q696">
        <f>ROUND((Source!BZ601/100)*ROUND((Source!AF601*Source!AV601)*Source!I601, 2), 2)</f>
        <v>1852.74</v>
      </c>
      <c r="R696">
        <f>Source!X601</f>
        <v>1852.74</v>
      </c>
      <c r="S696">
        <f>ROUND((Source!CA601/100)*ROUND((Source!AF601*Source!AV601)*Source!I601, 2), 2)</f>
        <v>264.68</v>
      </c>
      <c r="T696">
        <f>Source!Y601</f>
        <v>264.68</v>
      </c>
      <c r="U696">
        <f>ROUND((175/100)*ROUND((Source!AE601*Source!AV601)*Source!I601, 2), 2)</f>
        <v>7.0000000000000007E-2</v>
      </c>
      <c r="V696">
        <f>ROUND((108/100)*ROUND(Source!CS601*Source!I601, 2), 2)</f>
        <v>0.04</v>
      </c>
    </row>
    <row r="697" spans="1:22" x14ac:dyDescent="0.2">
      <c r="D697" s="22" t="str">
        <f>"Объем: "&amp;Source!I601&amp;"=5/"&amp;"100"</f>
        <v>Объем: 0,05=5/100</v>
      </c>
    </row>
    <row r="698" spans="1:22" ht="14.25" x14ac:dyDescent="0.2">
      <c r="A698" s="18"/>
      <c r="B698" s="18"/>
      <c r="C698" s="18"/>
      <c r="D698" s="18" t="s">
        <v>461</v>
      </c>
      <c r="E698" s="19"/>
      <c r="F698" s="9"/>
      <c r="G698" s="21">
        <f>Source!AO601</f>
        <v>52935.41</v>
      </c>
      <c r="H698" s="20" t="str">
        <f>Source!DG601</f>
        <v/>
      </c>
      <c r="I698" s="9">
        <f>Source!AV601</f>
        <v>1</v>
      </c>
      <c r="J698" s="9">
        <f>IF(Source!BA601&lt;&gt; 0, Source!BA601, 1)</f>
        <v>1</v>
      </c>
      <c r="K698" s="21">
        <f>Source!S601</f>
        <v>2646.77</v>
      </c>
      <c r="L698" s="21"/>
    </row>
    <row r="699" spans="1:22" ht="14.25" x14ac:dyDescent="0.2">
      <c r="A699" s="18"/>
      <c r="B699" s="18"/>
      <c r="C699" s="18"/>
      <c r="D699" s="18" t="s">
        <v>462</v>
      </c>
      <c r="E699" s="19"/>
      <c r="F699" s="9"/>
      <c r="G699" s="21">
        <f>Source!AM601</f>
        <v>61.83</v>
      </c>
      <c r="H699" s="20" t="str">
        <f>Source!DE601</f>
        <v/>
      </c>
      <c r="I699" s="9">
        <f>Source!AV601</f>
        <v>1</v>
      </c>
      <c r="J699" s="9">
        <f>IF(Source!BB601&lt;&gt; 0, Source!BB601, 1)</f>
        <v>1</v>
      </c>
      <c r="K699" s="21">
        <f>Source!Q601</f>
        <v>3.09</v>
      </c>
      <c r="L699" s="21"/>
    </row>
    <row r="700" spans="1:22" ht="14.25" x14ac:dyDescent="0.2">
      <c r="A700" s="18"/>
      <c r="B700" s="18"/>
      <c r="C700" s="18"/>
      <c r="D700" s="18" t="s">
        <v>463</v>
      </c>
      <c r="E700" s="19"/>
      <c r="F700" s="9"/>
      <c r="G700" s="21">
        <f>Source!AN601</f>
        <v>0.7</v>
      </c>
      <c r="H700" s="20" t="str">
        <f>Source!DF601</f>
        <v/>
      </c>
      <c r="I700" s="9">
        <f>Source!AV601</f>
        <v>1</v>
      </c>
      <c r="J700" s="9">
        <f>IF(Source!BS601&lt;&gt; 0, Source!BS601, 1)</f>
        <v>1</v>
      </c>
      <c r="K700" s="23">
        <f>Source!R601</f>
        <v>0.04</v>
      </c>
      <c r="L700" s="21"/>
    </row>
    <row r="701" spans="1:22" ht="14.25" x14ac:dyDescent="0.2">
      <c r="A701" s="18"/>
      <c r="B701" s="18"/>
      <c r="C701" s="18"/>
      <c r="D701" s="18" t="s">
        <v>464</v>
      </c>
      <c r="E701" s="19"/>
      <c r="F701" s="9"/>
      <c r="G701" s="21">
        <f>Source!AL601</f>
        <v>776.55</v>
      </c>
      <c r="H701" s="20" t="str">
        <f>Source!DD601</f>
        <v/>
      </c>
      <c r="I701" s="9">
        <f>Source!AW601</f>
        <v>1</v>
      </c>
      <c r="J701" s="9">
        <f>IF(Source!BC601&lt;&gt; 0, Source!BC601, 1)</f>
        <v>1</v>
      </c>
      <c r="K701" s="21">
        <f>Source!P601</f>
        <v>38.83</v>
      </c>
      <c r="L701" s="21"/>
    </row>
    <row r="702" spans="1:22" ht="14.25" x14ac:dyDescent="0.2">
      <c r="A702" s="18"/>
      <c r="B702" s="18"/>
      <c r="C702" s="18"/>
      <c r="D702" s="18" t="s">
        <v>465</v>
      </c>
      <c r="E702" s="19" t="s">
        <v>466</v>
      </c>
      <c r="F702" s="9">
        <f>Source!AT601</f>
        <v>70</v>
      </c>
      <c r="G702" s="21"/>
      <c r="H702" s="20"/>
      <c r="I702" s="9"/>
      <c r="J702" s="9"/>
      <c r="K702" s="21">
        <f>SUM(R696:R701)</f>
        <v>1852.74</v>
      </c>
      <c r="L702" s="21"/>
    </row>
    <row r="703" spans="1:22" ht="14.25" x14ac:dyDescent="0.2">
      <c r="A703" s="18"/>
      <c r="B703" s="18"/>
      <c r="C703" s="18"/>
      <c r="D703" s="18" t="s">
        <v>467</v>
      </c>
      <c r="E703" s="19" t="s">
        <v>466</v>
      </c>
      <c r="F703" s="9">
        <f>Source!AU601</f>
        <v>10</v>
      </c>
      <c r="G703" s="21"/>
      <c r="H703" s="20"/>
      <c r="I703" s="9"/>
      <c r="J703" s="9"/>
      <c r="K703" s="21">
        <f>SUM(T696:T702)</f>
        <v>264.68</v>
      </c>
      <c r="L703" s="21"/>
    </row>
    <row r="704" spans="1:22" ht="14.25" x14ac:dyDescent="0.2">
      <c r="A704" s="18"/>
      <c r="B704" s="18"/>
      <c r="C704" s="18"/>
      <c r="D704" s="18" t="s">
        <v>468</v>
      </c>
      <c r="E704" s="19" t="s">
        <v>466</v>
      </c>
      <c r="F704" s="9">
        <f>108</f>
        <v>108</v>
      </c>
      <c r="G704" s="21"/>
      <c r="H704" s="20"/>
      <c r="I704" s="9"/>
      <c r="J704" s="9"/>
      <c r="K704" s="21">
        <f>SUM(V696:V703)</f>
        <v>0.04</v>
      </c>
      <c r="L704" s="21"/>
    </row>
    <row r="705" spans="1:22" ht="14.25" x14ac:dyDescent="0.2">
      <c r="A705" s="18"/>
      <c r="B705" s="18"/>
      <c r="C705" s="18"/>
      <c r="D705" s="18" t="s">
        <v>469</v>
      </c>
      <c r="E705" s="19" t="s">
        <v>470</v>
      </c>
      <c r="F705" s="9">
        <f>Source!AQ601</f>
        <v>104.44</v>
      </c>
      <c r="G705" s="21"/>
      <c r="H705" s="20" t="str">
        <f>Source!DI601</f>
        <v/>
      </c>
      <c r="I705" s="9">
        <f>Source!AV601</f>
        <v>1</v>
      </c>
      <c r="J705" s="9"/>
      <c r="K705" s="21"/>
      <c r="L705" s="21">
        <f>Source!U601</f>
        <v>5.2220000000000004</v>
      </c>
    </row>
    <row r="706" spans="1:22" ht="15" x14ac:dyDescent="0.25">
      <c r="A706" s="26"/>
      <c r="B706" s="26"/>
      <c r="C706" s="26"/>
      <c r="D706" s="26"/>
      <c r="E706" s="26"/>
      <c r="F706" s="26"/>
      <c r="G706" s="26"/>
      <c r="H706" s="26"/>
      <c r="I706" s="26"/>
      <c r="J706" s="53">
        <f>K698+K699+K701+K702+K703+K704</f>
        <v>4806.1500000000005</v>
      </c>
      <c r="K706" s="53"/>
      <c r="L706" s="27">
        <f>IF(Source!I601&lt;&gt;0, ROUND(J706/Source!I601, 2), 0)</f>
        <v>96123</v>
      </c>
      <c r="P706" s="24">
        <f>J706</f>
        <v>4806.1500000000005</v>
      </c>
    </row>
    <row r="707" spans="1:22" ht="42.75" x14ac:dyDescent="0.2">
      <c r="A707" s="18">
        <v>70</v>
      </c>
      <c r="B707" s="18">
        <v>70</v>
      </c>
      <c r="C707" s="18" t="str">
        <f>Source!F602</f>
        <v>1.16-3201-2-2/1</v>
      </c>
      <c r="D707" s="18" t="str">
        <f>Source!G602</f>
        <v>Укрепление расшатавшихся санитарно-технических приборов - унитазы и биде</v>
      </c>
      <c r="E707" s="19" t="str">
        <f>Source!H602</f>
        <v>100 шт.</v>
      </c>
      <c r="F707" s="9">
        <f>Source!I602</f>
        <v>0.05</v>
      </c>
      <c r="G707" s="21"/>
      <c r="H707" s="20"/>
      <c r="I707" s="9"/>
      <c r="J707" s="9"/>
      <c r="K707" s="21"/>
      <c r="L707" s="21"/>
      <c r="Q707">
        <f>ROUND((Source!BZ602/100)*ROUND((Source!AF602*Source!AV602)*Source!I602, 2), 2)</f>
        <v>2695.2</v>
      </c>
      <c r="R707">
        <f>Source!X602</f>
        <v>2695.2</v>
      </c>
      <c r="S707">
        <f>ROUND((Source!CA602/100)*ROUND((Source!AF602*Source!AV602)*Source!I602, 2), 2)</f>
        <v>385.03</v>
      </c>
      <c r="T707">
        <f>Source!Y602</f>
        <v>385.03</v>
      </c>
      <c r="U707">
        <f>ROUND((175/100)*ROUND((Source!AE602*Source!AV602)*Source!I602, 2), 2)</f>
        <v>7.0000000000000007E-2</v>
      </c>
      <c r="V707">
        <f>ROUND((108/100)*ROUND(Source!CS602*Source!I602, 2), 2)</f>
        <v>0.04</v>
      </c>
    </row>
    <row r="708" spans="1:22" x14ac:dyDescent="0.2">
      <c r="D708" s="22" t="str">
        <f>"Объем: "&amp;Source!I602&amp;"=5/"&amp;"100"</f>
        <v>Объем: 0,05=5/100</v>
      </c>
    </row>
    <row r="709" spans="1:22" ht="14.25" x14ac:dyDescent="0.2">
      <c r="A709" s="18"/>
      <c r="B709" s="18"/>
      <c r="C709" s="18"/>
      <c r="D709" s="18" t="s">
        <v>461</v>
      </c>
      <c r="E709" s="19"/>
      <c r="F709" s="9"/>
      <c r="G709" s="21">
        <f>Source!AO602</f>
        <v>77005.72</v>
      </c>
      <c r="H709" s="20" t="str">
        <f>Source!DG602</f>
        <v/>
      </c>
      <c r="I709" s="9">
        <f>Source!AV602</f>
        <v>1</v>
      </c>
      <c r="J709" s="9">
        <f>IF(Source!BA602&lt;&gt; 0, Source!BA602, 1)</f>
        <v>1</v>
      </c>
      <c r="K709" s="21">
        <f>Source!S602</f>
        <v>3850.29</v>
      </c>
      <c r="L709" s="21"/>
    </row>
    <row r="710" spans="1:22" ht="14.25" x14ac:dyDescent="0.2">
      <c r="A710" s="18"/>
      <c r="B710" s="18"/>
      <c r="C710" s="18"/>
      <c r="D710" s="18" t="s">
        <v>462</v>
      </c>
      <c r="E710" s="19"/>
      <c r="F710" s="9"/>
      <c r="G710" s="21">
        <f>Source!AM602</f>
        <v>61.83</v>
      </c>
      <c r="H710" s="20" t="str">
        <f>Source!DE602</f>
        <v/>
      </c>
      <c r="I710" s="9">
        <f>Source!AV602</f>
        <v>1</v>
      </c>
      <c r="J710" s="9">
        <f>IF(Source!BB602&lt;&gt; 0, Source!BB602, 1)</f>
        <v>1</v>
      </c>
      <c r="K710" s="21">
        <f>Source!Q602</f>
        <v>3.09</v>
      </c>
      <c r="L710" s="21"/>
    </row>
    <row r="711" spans="1:22" ht="14.25" x14ac:dyDescent="0.2">
      <c r="A711" s="18"/>
      <c r="B711" s="18"/>
      <c r="C711" s="18"/>
      <c r="D711" s="18" t="s">
        <v>463</v>
      </c>
      <c r="E711" s="19"/>
      <c r="F711" s="9"/>
      <c r="G711" s="21">
        <f>Source!AN602</f>
        <v>0.7</v>
      </c>
      <c r="H711" s="20" t="str">
        <f>Source!DF602</f>
        <v/>
      </c>
      <c r="I711" s="9">
        <f>Source!AV602</f>
        <v>1</v>
      </c>
      <c r="J711" s="9">
        <f>IF(Source!BS602&lt;&gt; 0, Source!BS602, 1)</f>
        <v>1</v>
      </c>
      <c r="K711" s="23">
        <f>Source!R602</f>
        <v>0.04</v>
      </c>
      <c r="L711" s="21"/>
    </row>
    <row r="712" spans="1:22" ht="14.25" x14ac:dyDescent="0.2">
      <c r="A712" s="18"/>
      <c r="B712" s="18"/>
      <c r="C712" s="18"/>
      <c r="D712" s="18" t="s">
        <v>464</v>
      </c>
      <c r="E712" s="19"/>
      <c r="F712" s="9"/>
      <c r="G712" s="21">
        <f>Source!AL602</f>
        <v>776.55</v>
      </c>
      <c r="H712" s="20" t="str">
        <f>Source!DD602</f>
        <v/>
      </c>
      <c r="I712" s="9">
        <f>Source!AW602</f>
        <v>1</v>
      </c>
      <c r="J712" s="9">
        <f>IF(Source!BC602&lt;&gt; 0, Source!BC602, 1)</f>
        <v>1</v>
      </c>
      <c r="K712" s="21">
        <f>Source!P602</f>
        <v>38.83</v>
      </c>
      <c r="L712" s="21"/>
    </row>
    <row r="713" spans="1:22" ht="14.25" x14ac:dyDescent="0.2">
      <c r="A713" s="18"/>
      <c r="B713" s="18"/>
      <c r="C713" s="18"/>
      <c r="D713" s="18" t="s">
        <v>465</v>
      </c>
      <c r="E713" s="19" t="s">
        <v>466</v>
      </c>
      <c r="F713" s="9">
        <f>Source!AT602</f>
        <v>70</v>
      </c>
      <c r="G713" s="21"/>
      <c r="H713" s="20"/>
      <c r="I713" s="9"/>
      <c r="J713" s="9"/>
      <c r="K713" s="21">
        <f>SUM(R707:R712)</f>
        <v>2695.2</v>
      </c>
      <c r="L713" s="21"/>
    </row>
    <row r="714" spans="1:22" ht="14.25" x14ac:dyDescent="0.2">
      <c r="A714" s="18"/>
      <c r="B714" s="18"/>
      <c r="C714" s="18"/>
      <c r="D714" s="18" t="s">
        <v>467</v>
      </c>
      <c r="E714" s="19" t="s">
        <v>466</v>
      </c>
      <c r="F714" s="9">
        <f>Source!AU602</f>
        <v>10</v>
      </c>
      <c r="G714" s="21"/>
      <c r="H714" s="20"/>
      <c r="I714" s="9"/>
      <c r="J714" s="9"/>
      <c r="K714" s="21">
        <f>SUM(T707:T713)</f>
        <v>385.03</v>
      </c>
      <c r="L714" s="21"/>
    </row>
    <row r="715" spans="1:22" ht="14.25" x14ac:dyDescent="0.2">
      <c r="A715" s="18"/>
      <c r="B715" s="18"/>
      <c r="C715" s="18"/>
      <c r="D715" s="18" t="s">
        <v>468</v>
      </c>
      <c r="E715" s="19" t="s">
        <v>466</v>
      </c>
      <c r="F715" s="9">
        <f>108</f>
        <v>108</v>
      </c>
      <c r="G715" s="21"/>
      <c r="H715" s="20"/>
      <c r="I715" s="9"/>
      <c r="J715" s="9"/>
      <c r="K715" s="21">
        <f>SUM(V707:V714)</f>
        <v>0.04</v>
      </c>
      <c r="L715" s="21"/>
    </row>
    <row r="716" spans="1:22" ht="14.25" x14ac:dyDescent="0.2">
      <c r="A716" s="18"/>
      <c r="B716" s="18"/>
      <c r="C716" s="18"/>
      <c r="D716" s="18" t="s">
        <v>469</v>
      </c>
      <c r="E716" s="19" t="s">
        <v>470</v>
      </c>
      <c r="F716" s="9">
        <f>Source!AQ602</f>
        <v>151.93</v>
      </c>
      <c r="G716" s="21"/>
      <c r="H716" s="20" t="str">
        <f>Source!DI602</f>
        <v/>
      </c>
      <c r="I716" s="9">
        <f>Source!AV602</f>
        <v>1</v>
      </c>
      <c r="J716" s="9"/>
      <c r="K716" s="21"/>
      <c r="L716" s="21">
        <f>Source!U602</f>
        <v>7.5965000000000007</v>
      </c>
    </row>
    <row r="717" spans="1:22" ht="15" x14ac:dyDescent="0.25">
      <c r="A717" s="26"/>
      <c r="B717" s="26"/>
      <c r="C717" s="26"/>
      <c r="D717" s="26"/>
      <c r="E717" s="26"/>
      <c r="F717" s="26"/>
      <c r="G717" s="26"/>
      <c r="H717" s="26"/>
      <c r="I717" s="26"/>
      <c r="J717" s="53">
        <f>K709+K710+K712+K713+K714+K715</f>
        <v>6972.48</v>
      </c>
      <c r="K717" s="53"/>
      <c r="L717" s="27">
        <f>IF(Source!I602&lt;&gt;0, ROUND(J717/Source!I602, 2), 0)</f>
        <v>139449.60000000001</v>
      </c>
      <c r="P717" s="24">
        <f>J717</f>
        <v>6972.48</v>
      </c>
    </row>
    <row r="718" spans="1:22" ht="42.75" x14ac:dyDescent="0.2">
      <c r="A718" s="18">
        <v>71</v>
      </c>
      <c r="B718" s="18">
        <v>71</v>
      </c>
      <c r="C718" s="18" t="str">
        <f>Source!F604</f>
        <v>1.23-2103-41-1/1</v>
      </c>
      <c r="D718" s="18" t="str">
        <f>Source!G604</f>
        <v>Техническое обслуживание регулирующего клапана / Смеситель для раковины</v>
      </c>
      <c r="E718" s="19" t="str">
        <f>Source!H604</f>
        <v>шт.</v>
      </c>
      <c r="F718" s="9">
        <f>Source!I604</f>
        <v>5</v>
      </c>
      <c r="G718" s="21"/>
      <c r="H718" s="20"/>
      <c r="I718" s="9"/>
      <c r="J718" s="9"/>
      <c r="K718" s="21"/>
      <c r="L718" s="21"/>
      <c r="Q718">
        <f>ROUND((Source!BZ604/100)*ROUND((Source!AF604*Source!AV604)*Source!I604, 2), 2)</f>
        <v>728</v>
      </c>
      <c r="R718">
        <f>Source!X604</f>
        <v>728</v>
      </c>
      <c r="S718">
        <f>ROUND((Source!CA604/100)*ROUND((Source!AF604*Source!AV604)*Source!I604, 2), 2)</f>
        <v>104</v>
      </c>
      <c r="T718">
        <f>Source!Y604</f>
        <v>104</v>
      </c>
      <c r="U718">
        <f>ROUND((175/100)*ROUND((Source!AE604*Source!AV604)*Source!I604, 2), 2)</f>
        <v>433.74</v>
      </c>
      <c r="V718">
        <f>ROUND((108/100)*ROUND(Source!CS604*Source!I604, 2), 2)</f>
        <v>267.68</v>
      </c>
    </row>
    <row r="719" spans="1:22" ht="14.25" x14ac:dyDescent="0.2">
      <c r="A719" s="18"/>
      <c r="B719" s="18"/>
      <c r="C719" s="18"/>
      <c r="D719" s="18" t="s">
        <v>461</v>
      </c>
      <c r="E719" s="19"/>
      <c r="F719" s="9"/>
      <c r="G719" s="21">
        <f>Source!AO604</f>
        <v>208</v>
      </c>
      <c r="H719" s="20" t="str">
        <f>Source!DG604</f>
        <v/>
      </c>
      <c r="I719" s="9">
        <f>Source!AV604</f>
        <v>1</v>
      </c>
      <c r="J719" s="9">
        <f>IF(Source!BA604&lt;&gt; 0, Source!BA604, 1)</f>
        <v>1</v>
      </c>
      <c r="K719" s="21">
        <f>Source!S604</f>
        <v>1040</v>
      </c>
      <c r="L719" s="21"/>
    </row>
    <row r="720" spans="1:22" ht="14.25" x14ac:dyDescent="0.2">
      <c r="A720" s="18"/>
      <c r="B720" s="18"/>
      <c r="C720" s="18"/>
      <c r="D720" s="18" t="s">
        <v>462</v>
      </c>
      <c r="E720" s="19"/>
      <c r="F720" s="9"/>
      <c r="G720" s="21">
        <f>Source!AM604</f>
        <v>78.180000000000007</v>
      </c>
      <c r="H720" s="20" t="str">
        <f>Source!DE604</f>
        <v/>
      </c>
      <c r="I720" s="9">
        <f>Source!AV604</f>
        <v>1</v>
      </c>
      <c r="J720" s="9">
        <f>IF(Source!BB604&lt;&gt; 0, Source!BB604, 1)</f>
        <v>1</v>
      </c>
      <c r="K720" s="21">
        <f>Source!Q604</f>
        <v>390.9</v>
      </c>
      <c r="L720" s="21"/>
    </row>
    <row r="721" spans="1:22" ht="14.25" x14ac:dyDescent="0.2">
      <c r="A721" s="18"/>
      <c r="B721" s="18"/>
      <c r="C721" s="18"/>
      <c r="D721" s="18" t="s">
        <v>463</v>
      </c>
      <c r="E721" s="19"/>
      <c r="F721" s="9"/>
      <c r="G721" s="21">
        <f>Source!AN604</f>
        <v>49.57</v>
      </c>
      <c r="H721" s="20" t="str">
        <f>Source!DF604</f>
        <v/>
      </c>
      <c r="I721" s="9">
        <f>Source!AV604</f>
        <v>1</v>
      </c>
      <c r="J721" s="9">
        <f>IF(Source!BS604&lt;&gt; 0, Source!BS604, 1)</f>
        <v>1</v>
      </c>
      <c r="K721" s="23">
        <f>Source!R604</f>
        <v>247.85</v>
      </c>
      <c r="L721" s="21"/>
    </row>
    <row r="722" spans="1:22" ht="14.25" x14ac:dyDescent="0.2">
      <c r="A722" s="18"/>
      <c r="B722" s="18"/>
      <c r="C722" s="18"/>
      <c r="D722" s="18" t="s">
        <v>465</v>
      </c>
      <c r="E722" s="19" t="s">
        <v>466</v>
      </c>
      <c r="F722" s="9">
        <f>Source!AT604</f>
        <v>70</v>
      </c>
      <c r="G722" s="21"/>
      <c r="H722" s="20"/>
      <c r="I722" s="9"/>
      <c r="J722" s="9"/>
      <c r="K722" s="21">
        <f>SUM(R718:R721)</f>
        <v>728</v>
      </c>
      <c r="L722" s="21"/>
    </row>
    <row r="723" spans="1:22" ht="14.25" x14ac:dyDescent="0.2">
      <c r="A723" s="18"/>
      <c r="B723" s="18"/>
      <c r="C723" s="18"/>
      <c r="D723" s="18" t="s">
        <v>467</v>
      </c>
      <c r="E723" s="19" t="s">
        <v>466</v>
      </c>
      <c r="F723" s="9">
        <f>Source!AU604</f>
        <v>10</v>
      </c>
      <c r="G723" s="21"/>
      <c r="H723" s="20"/>
      <c r="I723" s="9"/>
      <c r="J723" s="9"/>
      <c r="K723" s="21">
        <f>SUM(T718:T722)</f>
        <v>104</v>
      </c>
      <c r="L723" s="21"/>
    </row>
    <row r="724" spans="1:22" ht="14.25" x14ac:dyDescent="0.2">
      <c r="A724" s="18"/>
      <c r="B724" s="18"/>
      <c r="C724" s="18"/>
      <c r="D724" s="18" t="s">
        <v>468</v>
      </c>
      <c r="E724" s="19" t="s">
        <v>466</v>
      </c>
      <c r="F724" s="9">
        <f>108</f>
        <v>108</v>
      </c>
      <c r="G724" s="21"/>
      <c r="H724" s="20"/>
      <c r="I724" s="9"/>
      <c r="J724" s="9"/>
      <c r="K724" s="21">
        <f>SUM(V718:V723)</f>
        <v>267.68</v>
      </c>
      <c r="L724" s="21"/>
    </row>
    <row r="725" spans="1:22" ht="14.25" x14ac:dyDescent="0.2">
      <c r="A725" s="18"/>
      <c r="B725" s="18"/>
      <c r="C725" s="18"/>
      <c r="D725" s="18" t="s">
        <v>469</v>
      </c>
      <c r="E725" s="19" t="s">
        <v>470</v>
      </c>
      <c r="F725" s="9">
        <f>Source!AQ604</f>
        <v>0.37</v>
      </c>
      <c r="G725" s="21"/>
      <c r="H725" s="20" t="str">
        <f>Source!DI604</f>
        <v/>
      </c>
      <c r="I725" s="9">
        <f>Source!AV604</f>
        <v>1</v>
      </c>
      <c r="J725" s="9"/>
      <c r="K725" s="21"/>
      <c r="L725" s="21">
        <f>Source!U604</f>
        <v>1.85</v>
      </c>
    </row>
    <row r="726" spans="1:22" ht="15" x14ac:dyDescent="0.25">
      <c r="A726" s="26"/>
      <c r="B726" s="26"/>
      <c r="C726" s="26"/>
      <c r="D726" s="26"/>
      <c r="E726" s="26"/>
      <c r="F726" s="26"/>
      <c r="G726" s="26"/>
      <c r="H726" s="26"/>
      <c r="I726" s="26"/>
      <c r="J726" s="53">
        <f>K719+K720+K722+K723+K724</f>
        <v>2530.58</v>
      </c>
      <c r="K726" s="53"/>
      <c r="L726" s="27">
        <f>IF(Source!I604&lt;&gt;0, ROUND(J726/Source!I604, 2), 0)</f>
        <v>506.12</v>
      </c>
      <c r="P726" s="24">
        <f>J726</f>
        <v>2530.58</v>
      </c>
    </row>
    <row r="727" spans="1:22" ht="28.5" x14ac:dyDescent="0.2">
      <c r="A727" s="18">
        <v>72</v>
      </c>
      <c r="B727" s="18">
        <v>72</v>
      </c>
      <c r="C727" s="18" t="str">
        <f>Source!F605</f>
        <v>1.16-3201-1-1/1</v>
      </c>
      <c r="D727" s="18" t="str">
        <f>Source!G605</f>
        <v>Регулировка смывного бачка</v>
      </c>
      <c r="E727" s="19" t="str">
        <f>Source!H605</f>
        <v>100 приборов</v>
      </c>
      <c r="F727" s="9">
        <f>Source!I605</f>
        <v>0.05</v>
      </c>
      <c r="G727" s="21"/>
      <c r="H727" s="20"/>
      <c r="I727" s="9"/>
      <c r="J727" s="9"/>
      <c r="K727" s="21"/>
      <c r="L727" s="21"/>
      <c r="Q727">
        <f>ROUND((Source!BZ605/100)*ROUND((Source!AF605*Source!AV605)*Source!I605, 2), 2)</f>
        <v>556.37</v>
      </c>
      <c r="R727">
        <f>Source!X605</f>
        <v>556.37</v>
      </c>
      <c r="S727">
        <f>ROUND((Source!CA605/100)*ROUND((Source!AF605*Source!AV605)*Source!I605, 2), 2)</f>
        <v>79.48</v>
      </c>
      <c r="T727">
        <f>Source!Y605</f>
        <v>79.48</v>
      </c>
      <c r="U727">
        <f>ROUND((175/100)*ROUND((Source!AE605*Source!AV605)*Source!I605, 2), 2)</f>
        <v>0</v>
      </c>
      <c r="V727">
        <f>ROUND((108/100)*ROUND(Source!CS605*Source!I605, 2), 2)</f>
        <v>0</v>
      </c>
    </row>
    <row r="728" spans="1:22" x14ac:dyDescent="0.2">
      <c r="D728" s="22" t="str">
        <f>"Объем: "&amp;Source!I605&amp;"=5/"&amp;"100"</f>
        <v>Объем: 0,05=5/100</v>
      </c>
    </row>
    <row r="729" spans="1:22" ht="14.25" x14ac:dyDescent="0.2">
      <c r="A729" s="18"/>
      <c r="B729" s="18"/>
      <c r="C729" s="18"/>
      <c r="D729" s="18" t="s">
        <v>461</v>
      </c>
      <c r="E729" s="19"/>
      <c r="F729" s="9"/>
      <c r="G729" s="21">
        <f>Source!AO605</f>
        <v>15896.11</v>
      </c>
      <c r="H729" s="20" t="str">
        <f>Source!DG605</f>
        <v/>
      </c>
      <c r="I729" s="9">
        <f>Source!AV605</f>
        <v>1</v>
      </c>
      <c r="J729" s="9">
        <f>IF(Source!BA605&lt;&gt; 0, Source!BA605, 1)</f>
        <v>1</v>
      </c>
      <c r="K729" s="21">
        <f>Source!S605</f>
        <v>794.81</v>
      </c>
      <c r="L729" s="21"/>
    </row>
    <row r="730" spans="1:22" ht="14.25" x14ac:dyDescent="0.2">
      <c r="A730" s="18"/>
      <c r="B730" s="18"/>
      <c r="C730" s="18"/>
      <c r="D730" s="18" t="s">
        <v>465</v>
      </c>
      <c r="E730" s="19" t="s">
        <v>466</v>
      </c>
      <c r="F730" s="9">
        <f>Source!AT605</f>
        <v>70</v>
      </c>
      <c r="G730" s="21"/>
      <c r="H730" s="20"/>
      <c r="I730" s="9"/>
      <c r="J730" s="9"/>
      <c r="K730" s="21">
        <f>SUM(R727:R729)</f>
        <v>556.37</v>
      </c>
      <c r="L730" s="21"/>
    </row>
    <row r="731" spans="1:22" ht="14.25" x14ac:dyDescent="0.2">
      <c r="A731" s="18"/>
      <c r="B731" s="18"/>
      <c r="C731" s="18"/>
      <c r="D731" s="18" t="s">
        <v>467</v>
      </c>
      <c r="E731" s="19" t="s">
        <v>466</v>
      </c>
      <c r="F731" s="9">
        <f>Source!AU605</f>
        <v>10</v>
      </c>
      <c r="G731" s="21"/>
      <c r="H731" s="20"/>
      <c r="I731" s="9"/>
      <c r="J731" s="9"/>
      <c r="K731" s="21">
        <f>SUM(T727:T730)</f>
        <v>79.48</v>
      </c>
      <c r="L731" s="21"/>
    </row>
    <row r="732" spans="1:22" ht="14.25" x14ac:dyDescent="0.2">
      <c r="A732" s="18"/>
      <c r="B732" s="18"/>
      <c r="C732" s="18"/>
      <c r="D732" s="18" t="s">
        <v>469</v>
      </c>
      <c r="E732" s="19" t="s">
        <v>470</v>
      </c>
      <c r="F732" s="9">
        <f>Source!AQ605</f>
        <v>26.7</v>
      </c>
      <c r="G732" s="21"/>
      <c r="H732" s="20" t="str">
        <f>Source!DI605</f>
        <v/>
      </c>
      <c r="I732" s="9">
        <f>Source!AV605</f>
        <v>1</v>
      </c>
      <c r="J732" s="9"/>
      <c r="K732" s="21"/>
      <c r="L732" s="21">
        <f>Source!U605</f>
        <v>1.335</v>
      </c>
    </row>
    <row r="733" spans="1:22" ht="15" x14ac:dyDescent="0.25">
      <c r="A733" s="26"/>
      <c r="B733" s="26"/>
      <c r="C733" s="26"/>
      <c r="D733" s="26"/>
      <c r="E733" s="26"/>
      <c r="F733" s="26"/>
      <c r="G733" s="26"/>
      <c r="H733" s="26"/>
      <c r="I733" s="26"/>
      <c r="J733" s="53">
        <f>K729+K730+K731</f>
        <v>1430.6599999999999</v>
      </c>
      <c r="K733" s="53"/>
      <c r="L733" s="27">
        <f>IF(Source!I605&lt;&gt;0, ROUND(J733/Source!I605, 2), 0)</f>
        <v>28613.200000000001</v>
      </c>
      <c r="P733" s="24">
        <f>J733</f>
        <v>1430.6599999999999</v>
      </c>
    </row>
    <row r="734" spans="1:22" ht="14.25" x14ac:dyDescent="0.2">
      <c r="A734" s="18">
        <v>73</v>
      </c>
      <c r="B734" s="18">
        <v>73</v>
      </c>
      <c r="C734" s="18" t="str">
        <f>Source!F606</f>
        <v>1.16-2203-1-1/1</v>
      </c>
      <c r="D734" s="18" t="str">
        <f>Source!G606</f>
        <v>Прочистка сифонов</v>
      </c>
      <c r="E734" s="19" t="str">
        <f>Source!H606</f>
        <v>100 шт.</v>
      </c>
      <c r="F734" s="9">
        <f>Source!I606</f>
        <v>0.05</v>
      </c>
      <c r="G734" s="21"/>
      <c r="H734" s="20"/>
      <c r="I734" s="9"/>
      <c r="J734" s="9"/>
      <c r="K734" s="21"/>
      <c r="L734" s="21"/>
      <c r="Q734">
        <f>ROUND((Source!BZ606/100)*ROUND((Source!AF606*Source!AV606)*Source!I606, 2), 2)</f>
        <v>497.07</v>
      </c>
      <c r="R734">
        <f>Source!X606</f>
        <v>497.07</v>
      </c>
      <c r="S734">
        <f>ROUND((Source!CA606/100)*ROUND((Source!AF606*Source!AV606)*Source!I606, 2), 2)</f>
        <v>71.010000000000005</v>
      </c>
      <c r="T734">
        <f>Source!Y606</f>
        <v>71.010000000000005</v>
      </c>
      <c r="U734">
        <f>ROUND((175/100)*ROUND((Source!AE606*Source!AV606)*Source!I606, 2), 2)</f>
        <v>0</v>
      </c>
      <c r="V734">
        <f>ROUND((108/100)*ROUND(Source!CS606*Source!I606, 2), 2)</f>
        <v>0</v>
      </c>
    </row>
    <row r="735" spans="1:22" x14ac:dyDescent="0.2">
      <c r="D735" s="22" t="str">
        <f>"Объем: "&amp;Source!I606&amp;"=5/"&amp;"100"</f>
        <v>Объем: 0,05=5/100</v>
      </c>
    </row>
    <row r="736" spans="1:22" ht="14.25" x14ac:dyDescent="0.2">
      <c r="A736" s="18"/>
      <c r="B736" s="18"/>
      <c r="C736" s="18"/>
      <c r="D736" s="18" t="s">
        <v>461</v>
      </c>
      <c r="E736" s="19"/>
      <c r="F736" s="9"/>
      <c r="G736" s="21">
        <f>Source!AO606</f>
        <v>14201.94</v>
      </c>
      <c r="H736" s="20" t="str">
        <f>Source!DG606</f>
        <v/>
      </c>
      <c r="I736" s="9">
        <f>Source!AV606</f>
        <v>1</v>
      </c>
      <c r="J736" s="9">
        <f>IF(Source!BA606&lt;&gt; 0, Source!BA606, 1)</f>
        <v>1</v>
      </c>
      <c r="K736" s="21">
        <f>Source!S606</f>
        <v>710.1</v>
      </c>
      <c r="L736" s="21"/>
    </row>
    <row r="737" spans="1:22" ht="14.25" x14ac:dyDescent="0.2">
      <c r="A737" s="18"/>
      <c r="B737" s="18"/>
      <c r="C737" s="18"/>
      <c r="D737" s="18" t="s">
        <v>464</v>
      </c>
      <c r="E737" s="19"/>
      <c r="F737" s="9"/>
      <c r="G737" s="21">
        <f>Source!AL606</f>
        <v>243.57</v>
      </c>
      <c r="H737" s="20" t="str">
        <f>Source!DD606</f>
        <v/>
      </c>
      <c r="I737" s="9">
        <f>Source!AW606</f>
        <v>1</v>
      </c>
      <c r="J737" s="9">
        <f>IF(Source!BC606&lt;&gt; 0, Source!BC606, 1)</f>
        <v>1</v>
      </c>
      <c r="K737" s="21">
        <f>Source!P606</f>
        <v>12.18</v>
      </c>
      <c r="L737" s="21"/>
    </row>
    <row r="738" spans="1:22" ht="14.25" x14ac:dyDescent="0.2">
      <c r="A738" s="18"/>
      <c r="B738" s="18"/>
      <c r="C738" s="18"/>
      <c r="D738" s="18" t="s">
        <v>465</v>
      </c>
      <c r="E738" s="19" t="s">
        <v>466</v>
      </c>
      <c r="F738" s="9">
        <f>Source!AT606</f>
        <v>70</v>
      </c>
      <c r="G738" s="21"/>
      <c r="H738" s="20"/>
      <c r="I738" s="9"/>
      <c r="J738" s="9"/>
      <c r="K738" s="21">
        <f>SUM(R734:R737)</f>
        <v>497.07</v>
      </c>
      <c r="L738" s="21"/>
    </row>
    <row r="739" spans="1:22" ht="14.25" x14ac:dyDescent="0.2">
      <c r="A739" s="18"/>
      <c r="B739" s="18"/>
      <c r="C739" s="18"/>
      <c r="D739" s="18" t="s">
        <v>467</v>
      </c>
      <c r="E739" s="19" t="s">
        <v>466</v>
      </c>
      <c r="F739" s="9">
        <f>Source!AU606</f>
        <v>10</v>
      </c>
      <c r="G739" s="21"/>
      <c r="H739" s="20"/>
      <c r="I739" s="9"/>
      <c r="J739" s="9"/>
      <c r="K739" s="21">
        <f>SUM(T734:T738)</f>
        <v>71.010000000000005</v>
      </c>
      <c r="L739" s="21"/>
    </row>
    <row r="740" spans="1:22" ht="14.25" x14ac:dyDescent="0.2">
      <c r="A740" s="18"/>
      <c r="B740" s="18"/>
      <c r="C740" s="18"/>
      <c r="D740" s="18" t="s">
        <v>469</v>
      </c>
      <c r="E740" s="19" t="s">
        <v>470</v>
      </c>
      <c r="F740" s="9">
        <f>Source!AQ606</f>
        <v>28.02</v>
      </c>
      <c r="G740" s="21"/>
      <c r="H740" s="20" t="str">
        <f>Source!DI606</f>
        <v/>
      </c>
      <c r="I740" s="9">
        <f>Source!AV606</f>
        <v>1</v>
      </c>
      <c r="J740" s="9"/>
      <c r="K740" s="21"/>
      <c r="L740" s="21">
        <f>Source!U606</f>
        <v>1.401</v>
      </c>
    </row>
    <row r="741" spans="1:22" ht="15" x14ac:dyDescent="0.25">
      <c r="A741" s="26"/>
      <c r="B741" s="26"/>
      <c r="C741" s="26"/>
      <c r="D741" s="26"/>
      <c r="E741" s="26"/>
      <c r="F741" s="26"/>
      <c r="G741" s="26"/>
      <c r="H741" s="26"/>
      <c r="I741" s="26"/>
      <c r="J741" s="53">
        <f>K736+K737+K738+K739</f>
        <v>1290.3599999999999</v>
      </c>
      <c r="K741" s="53"/>
      <c r="L741" s="27">
        <f>IF(Source!I606&lt;&gt;0, ROUND(J741/Source!I606, 2), 0)</f>
        <v>25807.200000000001</v>
      </c>
      <c r="P741" s="24">
        <f>J741</f>
        <v>1290.3599999999999</v>
      </c>
    </row>
    <row r="742" spans="1:22" ht="28.5" x14ac:dyDescent="0.2">
      <c r="A742" s="18">
        <v>74</v>
      </c>
      <c r="B742" s="18">
        <v>74</v>
      </c>
      <c r="C742" s="18" t="str">
        <f>Source!F609</f>
        <v>1.15-2303-4-1/1</v>
      </c>
      <c r="D742" s="18" t="str">
        <f>Source!G609</f>
        <v>Прочистка сетчатых фильтров грубой очистки воды диаметром до 25 мм</v>
      </c>
      <c r="E742" s="19" t="str">
        <f>Source!H609</f>
        <v>10 шт.</v>
      </c>
      <c r="F742" s="9">
        <f>Source!I609</f>
        <v>0.5</v>
      </c>
      <c r="G742" s="21"/>
      <c r="H742" s="20"/>
      <c r="I742" s="9"/>
      <c r="J742" s="9"/>
      <c r="K742" s="21"/>
      <c r="L742" s="21"/>
      <c r="Q742">
        <f>ROUND((Source!BZ609/100)*ROUND((Source!AF609*Source!AV609)*Source!I609, 2), 2)</f>
        <v>881.78</v>
      </c>
      <c r="R742">
        <f>Source!X609</f>
        <v>881.78</v>
      </c>
      <c r="S742">
        <f>ROUND((Source!CA609/100)*ROUND((Source!AF609*Source!AV609)*Source!I609, 2), 2)</f>
        <v>125.97</v>
      </c>
      <c r="T742">
        <f>Source!Y609</f>
        <v>125.97</v>
      </c>
      <c r="U742">
        <f>ROUND((175/100)*ROUND((Source!AE609*Source!AV609)*Source!I609, 2), 2)</f>
        <v>0</v>
      </c>
      <c r="V742">
        <f>ROUND((108/100)*ROUND(Source!CS609*Source!I609, 2), 2)</f>
        <v>0</v>
      </c>
    </row>
    <row r="743" spans="1:22" x14ac:dyDescent="0.2">
      <c r="D743" s="22" t="str">
        <f>"Объем: "&amp;Source!I609&amp;"=5/"&amp;"10"</f>
        <v>Объем: 0,5=5/10</v>
      </c>
    </row>
    <row r="744" spans="1:22" ht="14.25" x14ac:dyDescent="0.2">
      <c r="A744" s="18"/>
      <c r="B744" s="18"/>
      <c r="C744" s="18"/>
      <c r="D744" s="18" t="s">
        <v>461</v>
      </c>
      <c r="E744" s="19"/>
      <c r="F744" s="9"/>
      <c r="G744" s="21">
        <f>Source!AO609</f>
        <v>1259.68</v>
      </c>
      <c r="H744" s="20" t="str">
        <f>Source!DG609</f>
        <v>)*2</v>
      </c>
      <c r="I744" s="9">
        <f>Source!AV609</f>
        <v>1</v>
      </c>
      <c r="J744" s="9">
        <f>IF(Source!BA609&lt;&gt; 0, Source!BA609, 1)</f>
        <v>1</v>
      </c>
      <c r="K744" s="21">
        <f>Source!S609</f>
        <v>1259.68</v>
      </c>
      <c r="L744" s="21"/>
    </row>
    <row r="745" spans="1:22" ht="14.25" x14ac:dyDescent="0.2">
      <c r="A745" s="18"/>
      <c r="B745" s="18"/>
      <c r="C745" s="18"/>
      <c r="D745" s="18" t="s">
        <v>465</v>
      </c>
      <c r="E745" s="19" t="s">
        <v>466</v>
      </c>
      <c r="F745" s="9">
        <f>Source!AT609</f>
        <v>70</v>
      </c>
      <c r="G745" s="21"/>
      <c r="H745" s="20"/>
      <c r="I745" s="9"/>
      <c r="J745" s="9"/>
      <c r="K745" s="21">
        <f>SUM(R742:R744)</f>
        <v>881.78</v>
      </c>
      <c r="L745" s="21"/>
    </row>
    <row r="746" spans="1:22" ht="14.25" x14ac:dyDescent="0.2">
      <c r="A746" s="18"/>
      <c r="B746" s="18"/>
      <c r="C746" s="18"/>
      <c r="D746" s="18" t="s">
        <v>467</v>
      </c>
      <c r="E746" s="19" t="s">
        <v>466</v>
      </c>
      <c r="F746" s="9">
        <f>Source!AU609</f>
        <v>10</v>
      </c>
      <c r="G746" s="21"/>
      <c r="H746" s="20"/>
      <c r="I746" s="9"/>
      <c r="J746" s="9"/>
      <c r="K746" s="21">
        <f>SUM(T742:T745)</f>
        <v>125.97</v>
      </c>
      <c r="L746" s="21"/>
    </row>
    <row r="747" spans="1:22" ht="14.25" x14ac:dyDescent="0.2">
      <c r="A747" s="18"/>
      <c r="B747" s="18"/>
      <c r="C747" s="18"/>
      <c r="D747" s="18" t="s">
        <v>469</v>
      </c>
      <c r="E747" s="19" t="s">
        <v>470</v>
      </c>
      <c r="F747" s="9">
        <f>Source!AQ609</f>
        <v>2.04</v>
      </c>
      <c r="G747" s="21"/>
      <c r="H747" s="20" t="str">
        <f>Source!DI609</f>
        <v>)*2</v>
      </c>
      <c r="I747" s="9">
        <f>Source!AV609</f>
        <v>1</v>
      </c>
      <c r="J747" s="9"/>
      <c r="K747" s="21"/>
      <c r="L747" s="21">
        <f>Source!U609</f>
        <v>2.04</v>
      </c>
    </row>
    <row r="748" spans="1:22" ht="15" x14ac:dyDescent="0.25">
      <c r="A748" s="26"/>
      <c r="B748" s="26"/>
      <c r="C748" s="26"/>
      <c r="D748" s="26"/>
      <c r="E748" s="26"/>
      <c r="F748" s="26"/>
      <c r="G748" s="26"/>
      <c r="H748" s="26"/>
      <c r="I748" s="26"/>
      <c r="J748" s="53">
        <f>K744+K745+K746</f>
        <v>2267.4299999999998</v>
      </c>
      <c r="K748" s="53"/>
      <c r="L748" s="27">
        <f>IF(Source!I609&lt;&gt;0, ROUND(J748/Source!I609, 2), 0)</f>
        <v>4534.8599999999997</v>
      </c>
      <c r="P748" s="24">
        <f>J748</f>
        <v>2267.4299999999998</v>
      </c>
    </row>
    <row r="749" spans="1:22" ht="57" x14ac:dyDescent="0.2">
      <c r="A749" s="18">
        <v>75</v>
      </c>
      <c r="B749" s="18">
        <v>75</v>
      </c>
      <c r="C749" s="18" t="str">
        <f>Source!F612</f>
        <v>1.23-2103-41-1/1</v>
      </c>
      <c r="D749" s="18" t="str">
        <f>Source!G612</f>
        <v>Техническое обслуживание регулирующего клапана / Кран шаровой ПВХ 1/2 для подключения гибкой подводки</v>
      </c>
      <c r="E749" s="19" t="str">
        <f>Source!H612</f>
        <v>шт.</v>
      </c>
      <c r="F749" s="9">
        <f>Source!I612</f>
        <v>5</v>
      </c>
      <c r="G749" s="21"/>
      <c r="H749" s="20"/>
      <c r="I749" s="9"/>
      <c r="J749" s="9"/>
      <c r="K749" s="21"/>
      <c r="L749" s="21"/>
      <c r="Q749">
        <f>ROUND((Source!BZ612/100)*ROUND((Source!AF612*Source!AV612)*Source!I612, 2), 2)</f>
        <v>728</v>
      </c>
      <c r="R749">
        <f>Source!X612</f>
        <v>728</v>
      </c>
      <c r="S749">
        <f>ROUND((Source!CA612/100)*ROUND((Source!AF612*Source!AV612)*Source!I612, 2), 2)</f>
        <v>104</v>
      </c>
      <c r="T749">
        <f>Source!Y612</f>
        <v>104</v>
      </c>
      <c r="U749">
        <f>ROUND((175/100)*ROUND((Source!AE612*Source!AV612)*Source!I612, 2), 2)</f>
        <v>433.74</v>
      </c>
      <c r="V749">
        <f>ROUND((108/100)*ROUND(Source!CS612*Source!I612, 2), 2)</f>
        <v>267.68</v>
      </c>
    </row>
    <row r="750" spans="1:22" ht="14.25" x14ac:dyDescent="0.2">
      <c r="A750" s="18"/>
      <c r="B750" s="18"/>
      <c r="C750" s="18"/>
      <c r="D750" s="18" t="s">
        <v>461</v>
      </c>
      <c r="E750" s="19"/>
      <c r="F750" s="9"/>
      <c r="G750" s="21">
        <f>Source!AO612</f>
        <v>208</v>
      </c>
      <c r="H750" s="20" t="str">
        <f>Source!DG612</f>
        <v/>
      </c>
      <c r="I750" s="9">
        <f>Source!AV612</f>
        <v>1</v>
      </c>
      <c r="J750" s="9">
        <f>IF(Source!BA612&lt;&gt; 0, Source!BA612, 1)</f>
        <v>1</v>
      </c>
      <c r="K750" s="21">
        <f>Source!S612</f>
        <v>1040</v>
      </c>
      <c r="L750" s="21"/>
    </row>
    <row r="751" spans="1:22" ht="14.25" x14ac:dyDescent="0.2">
      <c r="A751" s="18"/>
      <c r="B751" s="18"/>
      <c r="C751" s="18"/>
      <c r="D751" s="18" t="s">
        <v>462</v>
      </c>
      <c r="E751" s="19"/>
      <c r="F751" s="9"/>
      <c r="G751" s="21">
        <f>Source!AM612</f>
        <v>78.180000000000007</v>
      </c>
      <c r="H751" s="20" t="str">
        <f>Source!DE612</f>
        <v/>
      </c>
      <c r="I751" s="9">
        <f>Source!AV612</f>
        <v>1</v>
      </c>
      <c r="J751" s="9">
        <f>IF(Source!BB612&lt;&gt; 0, Source!BB612, 1)</f>
        <v>1</v>
      </c>
      <c r="K751" s="21">
        <f>Source!Q612</f>
        <v>390.9</v>
      </c>
      <c r="L751" s="21"/>
    </row>
    <row r="752" spans="1:22" ht="14.25" x14ac:dyDescent="0.2">
      <c r="A752" s="18"/>
      <c r="B752" s="18"/>
      <c r="C752" s="18"/>
      <c r="D752" s="18" t="s">
        <v>463</v>
      </c>
      <c r="E752" s="19"/>
      <c r="F752" s="9"/>
      <c r="G752" s="21">
        <f>Source!AN612</f>
        <v>49.57</v>
      </c>
      <c r="H752" s="20" t="str">
        <f>Source!DF612</f>
        <v/>
      </c>
      <c r="I752" s="9">
        <f>Source!AV612</f>
        <v>1</v>
      </c>
      <c r="J752" s="9">
        <f>IF(Source!BS612&lt;&gt; 0, Source!BS612, 1)</f>
        <v>1</v>
      </c>
      <c r="K752" s="23">
        <f>Source!R612</f>
        <v>247.85</v>
      </c>
      <c r="L752" s="21"/>
    </row>
    <row r="753" spans="1:22" ht="14.25" x14ac:dyDescent="0.2">
      <c r="A753" s="18"/>
      <c r="B753" s="18"/>
      <c r="C753" s="18"/>
      <c r="D753" s="18" t="s">
        <v>465</v>
      </c>
      <c r="E753" s="19" t="s">
        <v>466</v>
      </c>
      <c r="F753" s="9">
        <f>Source!AT612</f>
        <v>70</v>
      </c>
      <c r="G753" s="21"/>
      <c r="H753" s="20"/>
      <c r="I753" s="9"/>
      <c r="J753" s="9"/>
      <c r="K753" s="21">
        <f>SUM(R749:R752)</f>
        <v>728</v>
      </c>
      <c r="L753" s="21"/>
    </row>
    <row r="754" spans="1:22" ht="14.25" x14ac:dyDescent="0.2">
      <c r="A754" s="18"/>
      <c r="B754" s="18"/>
      <c r="C754" s="18"/>
      <c r="D754" s="18" t="s">
        <v>467</v>
      </c>
      <c r="E754" s="19" t="s">
        <v>466</v>
      </c>
      <c r="F754" s="9">
        <f>Source!AU612</f>
        <v>10</v>
      </c>
      <c r="G754" s="21"/>
      <c r="H754" s="20"/>
      <c r="I754" s="9"/>
      <c r="J754" s="9"/>
      <c r="K754" s="21">
        <f>SUM(T749:T753)</f>
        <v>104</v>
      </c>
      <c r="L754" s="21"/>
    </row>
    <row r="755" spans="1:22" ht="14.25" x14ac:dyDescent="0.2">
      <c r="A755" s="18"/>
      <c r="B755" s="18"/>
      <c r="C755" s="18"/>
      <c r="D755" s="18" t="s">
        <v>468</v>
      </c>
      <c r="E755" s="19" t="s">
        <v>466</v>
      </c>
      <c r="F755" s="9">
        <f>108</f>
        <v>108</v>
      </c>
      <c r="G755" s="21"/>
      <c r="H755" s="20"/>
      <c r="I755" s="9"/>
      <c r="J755" s="9"/>
      <c r="K755" s="21">
        <f>SUM(V749:V754)</f>
        <v>267.68</v>
      </c>
      <c r="L755" s="21"/>
    </row>
    <row r="756" spans="1:22" ht="14.25" x14ac:dyDescent="0.2">
      <c r="A756" s="18"/>
      <c r="B756" s="18"/>
      <c r="C756" s="18"/>
      <c r="D756" s="18" t="s">
        <v>469</v>
      </c>
      <c r="E756" s="19" t="s">
        <v>470</v>
      </c>
      <c r="F756" s="9">
        <f>Source!AQ612</f>
        <v>0.37</v>
      </c>
      <c r="G756" s="21"/>
      <c r="H756" s="20" t="str">
        <f>Source!DI612</f>
        <v/>
      </c>
      <c r="I756" s="9">
        <f>Source!AV612</f>
        <v>1</v>
      </c>
      <c r="J756" s="9"/>
      <c r="K756" s="21"/>
      <c r="L756" s="21">
        <f>Source!U612</f>
        <v>1.85</v>
      </c>
    </row>
    <row r="757" spans="1:22" ht="15" x14ac:dyDescent="0.25">
      <c r="A757" s="26"/>
      <c r="B757" s="26"/>
      <c r="C757" s="26"/>
      <c r="D757" s="26"/>
      <c r="E757" s="26"/>
      <c r="F757" s="26"/>
      <c r="G757" s="26"/>
      <c r="H757" s="26"/>
      <c r="I757" s="26"/>
      <c r="J757" s="53">
        <f>K750+K751+K753+K754+K755</f>
        <v>2530.58</v>
      </c>
      <c r="K757" s="53"/>
      <c r="L757" s="27">
        <f>IF(Source!I612&lt;&gt;0, ROUND(J757/Source!I612, 2), 0)</f>
        <v>506.12</v>
      </c>
      <c r="P757" s="24">
        <f>J757</f>
        <v>2530.58</v>
      </c>
    </row>
    <row r="759" spans="1:22" ht="15" x14ac:dyDescent="0.25">
      <c r="A759" s="57" t="str">
        <f>CONCATENATE("Итого по подразделу: ",IF(Source!G618&lt;&gt;"Новый подраздел", Source!G618, ""))</f>
        <v>Итого по подразделу: Оборудование водоснабжения и водоотведения</v>
      </c>
      <c r="B759" s="57"/>
      <c r="C759" s="57"/>
      <c r="D759" s="57"/>
      <c r="E759" s="57"/>
      <c r="F759" s="57"/>
      <c r="G759" s="57"/>
      <c r="H759" s="57"/>
      <c r="I759" s="57"/>
      <c r="J759" s="55">
        <f>SUM(P675:P758)</f>
        <v>108792.35999999999</v>
      </c>
      <c r="K759" s="56"/>
      <c r="L759" s="28"/>
    </row>
    <row r="762" spans="1:22" ht="16.5" x14ac:dyDescent="0.25">
      <c r="A762" s="54" t="str">
        <f>CONCATENATE("Подраздел: ",IF(Source!G648&lt;&gt;"Новый подраздел", Source!G648, ""))</f>
        <v>Подраздел: Кондиционирование</v>
      </c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</row>
    <row r="763" spans="1:22" ht="42.75" x14ac:dyDescent="0.2">
      <c r="A763" s="18">
        <v>76</v>
      </c>
      <c r="B763" s="18">
        <v>76</v>
      </c>
      <c r="C763" s="18" t="str">
        <f>Source!F652</f>
        <v>1.18-2403-19-5/1</v>
      </c>
      <c r="D763" s="18" t="str">
        <f>Source!G652</f>
        <v>Техническое обслуживание внутренних настенных блоков сплит систем мощностью до 7 кВт - полугодовое</v>
      </c>
      <c r="E763" s="19" t="str">
        <f>Source!H652</f>
        <v>1 блок</v>
      </c>
      <c r="F763" s="9">
        <f>Source!I652</f>
        <v>5</v>
      </c>
      <c r="G763" s="21"/>
      <c r="H763" s="20"/>
      <c r="I763" s="9"/>
      <c r="J763" s="9"/>
      <c r="K763" s="21"/>
      <c r="L763" s="21"/>
      <c r="Q763">
        <f>ROUND((Source!BZ652/100)*ROUND((Source!AF652*Source!AV652)*Source!I652, 2), 2)</f>
        <v>3297.98</v>
      </c>
      <c r="R763">
        <f>Source!X652</f>
        <v>3297.98</v>
      </c>
      <c r="S763">
        <f>ROUND((Source!CA652/100)*ROUND((Source!AF652*Source!AV652)*Source!I652, 2), 2)</f>
        <v>471.14</v>
      </c>
      <c r="T763">
        <f>Source!Y652</f>
        <v>471.14</v>
      </c>
      <c r="U763">
        <f>ROUND((175/100)*ROUND((Source!AE652*Source!AV652)*Source!I652, 2), 2)</f>
        <v>0.18</v>
      </c>
      <c r="V763">
        <f>ROUND((108/100)*ROUND(Source!CS652*Source!I652, 2), 2)</f>
        <v>0.11</v>
      </c>
    </row>
    <row r="764" spans="1:22" ht="14.25" x14ac:dyDescent="0.2">
      <c r="A764" s="18"/>
      <c r="B764" s="18"/>
      <c r="C764" s="18"/>
      <c r="D764" s="18" t="s">
        <v>461</v>
      </c>
      <c r="E764" s="19"/>
      <c r="F764" s="9"/>
      <c r="G764" s="21">
        <f>Source!AO652</f>
        <v>942.28</v>
      </c>
      <c r="H764" s="20" t="str">
        <f>Source!DG652</f>
        <v/>
      </c>
      <c r="I764" s="9">
        <f>Source!AV652</f>
        <v>1</v>
      </c>
      <c r="J764" s="9">
        <f>IF(Source!BA652&lt;&gt; 0, Source!BA652, 1)</f>
        <v>1</v>
      </c>
      <c r="K764" s="21">
        <f>Source!S652</f>
        <v>4711.3999999999996</v>
      </c>
      <c r="L764" s="21"/>
    </row>
    <row r="765" spans="1:22" ht="14.25" x14ac:dyDescent="0.2">
      <c r="A765" s="18"/>
      <c r="B765" s="18"/>
      <c r="C765" s="18"/>
      <c r="D765" s="18" t="s">
        <v>462</v>
      </c>
      <c r="E765" s="19"/>
      <c r="F765" s="9"/>
      <c r="G765" s="21">
        <f>Source!AM652</f>
        <v>1.79</v>
      </c>
      <c r="H765" s="20" t="str">
        <f>Source!DE652</f>
        <v/>
      </c>
      <c r="I765" s="9">
        <f>Source!AV652</f>
        <v>1</v>
      </c>
      <c r="J765" s="9">
        <f>IF(Source!BB652&lt;&gt; 0, Source!BB652, 1)</f>
        <v>1</v>
      </c>
      <c r="K765" s="21">
        <f>Source!Q652</f>
        <v>8.9499999999999993</v>
      </c>
      <c r="L765" s="21"/>
    </row>
    <row r="766" spans="1:22" ht="14.25" x14ac:dyDescent="0.2">
      <c r="A766" s="18"/>
      <c r="B766" s="18"/>
      <c r="C766" s="18"/>
      <c r="D766" s="18" t="s">
        <v>463</v>
      </c>
      <c r="E766" s="19"/>
      <c r="F766" s="9"/>
      <c r="G766" s="21">
        <f>Source!AN652</f>
        <v>0.02</v>
      </c>
      <c r="H766" s="20" t="str">
        <f>Source!DF652</f>
        <v/>
      </c>
      <c r="I766" s="9">
        <f>Source!AV652</f>
        <v>1</v>
      </c>
      <c r="J766" s="9">
        <f>IF(Source!BS652&lt;&gt; 0, Source!BS652, 1)</f>
        <v>1</v>
      </c>
      <c r="K766" s="23">
        <f>Source!R652</f>
        <v>0.1</v>
      </c>
      <c r="L766" s="21"/>
    </row>
    <row r="767" spans="1:22" ht="14.25" x14ac:dyDescent="0.2">
      <c r="A767" s="18"/>
      <c r="B767" s="18"/>
      <c r="C767" s="18"/>
      <c r="D767" s="18" t="s">
        <v>464</v>
      </c>
      <c r="E767" s="19"/>
      <c r="F767" s="9"/>
      <c r="G767" s="21">
        <f>Source!AL652</f>
        <v>0.74</v>
      </c>
      <c r="H767" s="20" t="str">
        <f>Source!DD652</f>
        <v/>
      </c>
      <c r="I767" s="9">
        <f>Source!AW652</f>
        <v>1</v>
      </c>
      <c r="J767" s="9">
        <f>IF(Source!BC652&lt;&gt; 0, Source!BC652, 1)</f>
        <v>1</v>
      </c>
      <c r="K767" s="21">
        <f>Source!P652</f>
        <v>3.7</v>
      </c>
      <c r="L767" s="21"/>
    </row>
    <row r="768" spans="1:22" ht="14.25" x14ac:dyDescent="0.2">
      <c r="A768" s="18"/>
      <c r="B768" s="18"/>
      <c r="C768" s="18"/>
      <c r="D768" s="18" t="s">
        <v>465</v>
      </c>
      <c r="E768" s="19" t="s">
        <v>466</v>
      </c>
      <c r="F768" s="9">
        <f>Source!AT652</f>
        <v>70</v>
      </c>
      <c r="G768" s="21"/>
      <c r="H768" s="20"/>
      <c r="I768" s="9"/>
      <c r="J768" s="9"/>
      <c r="K768" s="21">
        <f>SUM(R763:R767)</f>
        <v>3297.98</v>
      </c>
      <c r="L768" s="21"/>
    </row>
    <row r="769" spans="1:22" ht="14.25" x14ac:dyDescent="0.2">
      <c r="A769" s="18"/>
      <c r="B769" s="18"/>
      <c r="C769" s="18"/>
      <c r="D769" s="18" t="s">
        <v>467</v>
      </c>
      <c r="E769" s="19" t="s">
        <v>466</v>
      </c>
      <c r="F769" s="9">
        <f>Source!AU652</f>
        <v>10</v>
      </c>
      <c r="G769" s="21"/>
      <c r="H769" s="20"/>
      <c r="I769" s="9"/>
      <c r="J769" s="9"/>
      <c r="K769" s="21">
        <f>SUM(T763:T768)</f>
        <v>471.14</v>
      </c>
      <c r="L769" s="21"/>
    </row>
    <row r="770" spans="1:22" ht="14.25" x14ac:dyDescent="0.2">
      <c r="A770" s="18"/>
      <c r="B770" s="18"/>
      <c r="C770" s="18"/>
      <c r="D770" s="18" t="s">
        <v>468</v>
      </c>
      <c r="E770" s="19" t="s">
        <v>466</v>
      </c>
      <c r="F770" s="9">
        <f>108</f>
        <v>108</v>
      </c>
      <c r="G770" s="21"/>
      <c r="H770" s="20"/>
      <c r="I770" s="9"/>
      <c r="J770" s="9"/>
      <c r="K770" s="21">
        <f>SUM(V763:V769)</f>
        <v>0.11</v>
      </c>
      <c r="L770" s="21"/>
    </row>
    <row r="771" spans="1:22" ht="14.25" x14ac:dyDescent="0.2">
      <c r="A771" s="18"/>
      <c r="B771" s="18"/>
      <c r="C771" s="18"/>
      <c r="D771" s="18" t="s">
        <v>469</v>
      </c>
      <c r="E771" s="19" t="s">
        <v>470</v>
      </c>
      <c r="F771" s="9">
        <f>Source!AQ652</f>
        <v>1.42</v>
      </c>
      <c r="G771" s="21"/>
      <c r="H771" s="20" t="str">
        <f>Source!DI652</f>
        <v/>
      </c>
      <c r="I771" s="9">
        <f>Source!AV652</f>
        <v>1</v>
      </c>
      <c r="J771" s="9"/>
      <c r="K771" s="21"/>
      <c r="L771" s="21">
        <f>Source!U652</f>
        <v>7.1</v>
      </c>
    </row>
    <row r="772" spans="1:22" ht="15" x14ac:dyDescent="0.25">
      <c r="A772" s="26"/>
      <c r="B772" s="26"/>
      <c r="C772" s="26"/>
      <c r="D772" s="26"/>
      <c r="E772" s="26"/>
      <c r="F772" s="26"/>
      <c r="G772" s="26"/>
      <c r="H772" s="26"/>
      <c r="I772" s="26"/>
      <c r="J772" s="53">
        <f>K764+K765+K767+K768+K769+K770</f>
        <v>8493.2799999999988</v>
      </c>
      <c r="K772" s="53"/>
      <c r="L772" s="27">
        <f>IF(Source!I652&lt;&gt;0, ROUND(J772/Source!I652, 2), 0)</f>
        <v>1698.66</v>
      </c>
      <c r="P772" s="24">
        <f>J772</f>
        <v>8493.2799999999988</v>
      </c>
    </row>
    <row r="773" spans="1:22" ht="42.75" x14ac:dyDescent="0.2">
      <c r="A773" s="18">
        <v>77</v>
      </c>
      <c r="B773" s="18">
        <v>77</v>
      </c>
      <c r="C773" s="18" t="str">
        <f>Source!F655</f>
        <v>1.18-2403-18-3/1</v>
      </c>
      <c r="D773" s="18" t="str">
        <f>Source!G655</f>
        <v>Техническое обслуживание наружных блоков сплит систем мощностью до 10 кВт - полугодовое</v>
      </c>
      <c r="E773" s="19" t="str">
        <f>Source!H655</f>
        <v>1 блок</v>
      </c>
      <c r="F773" s="9">
        <f>Source!I655</f>
        <v>5</v>
      </c>
      <c r="G773" s="21"/>
      <c r="H773" s="20"/>
      <c r="I773" s="9"/>
      <c r="J773" s="9"/>
      <c r="K773" s="21"/>
      <c r="L773" s="21"/>
      <c r="Q773">
        <f>ROUND((Source!BZ655/100)*ROUND((Source!AF655*Source!AV655)*Source!I655, 2), 2)</f>
        <v>5759.85</v>
      </c>
      <c r="R773">
        <f>Source!X655</f>
        <v>5759.85</v>
      </c>
      <c r="S773">
        <f>ROUND((Source!CA655/100)*ROUND((Source!AF655*Source!AV655)*Source!I655, 2), 2)</f>
        <v>822.84</v>
      </c>
      <c r="T773">
        <f>Source!Y655</f>
        <v>822.84</v>
      </c>
      <c r="U773">
        <f>ROUND((175/100)*ROUND((Source!AE655*Source!AV655)*Source!I655, 2), 2)</f>
        <v>0.44</v>
      </c>
      <c r="V773">
        <f>ROUND((108/100)*ROUND(Source!CS655*Source!I655, 2), 2)</f>
        <v>0.27</v>
      </c>
    </row>
    <row r="774" spans="1:22" ht="14.25" x14ac:dyDescent="0.2">
      <c r="A774" s="18"/>
      <c r="B774" s="18"/>
      <c r="C774" s="18"/>
      <c r="D774" s="18" t="s">
        <v>461</v>
      </c>
      <c r="E774" s="19"/>
      <c r="F774" s="9"/>
      <c r="G774" s="21">
        <f>Source!AO655</f>
        <v>1645.67</v>
      </c>
      <c r="H774" s="20" t="str">
        <f>Source!DG655</f>
        <v/>
      </c>
      <c r="I774" s="9">
        <f>Source!AV655</f>
        <v>1</v>
      </c>
      <c r="J774" s="9">
        <f>IF(Source!BA655&lt;&gt; 0, Source!BA655, 1)</f>
        <v>1</v>
      </c>
      <c r="K774" s="21">
        <f>Source!S655</f>
        <v>8228.35</v>
      </c>
      <c r="L774" s="21"/>
    </row>
    <row r="775" spans="1:22" ht="14.25" x14ac:dyDescent="0.2">
      <c r="A775" s="18"/>
      <c r="B775" s="18"/>
      <c r="C775" s="18"/>
      <c r="D775" s="18" t="s">
        <v>462</v>
      </c>
      <c r="E775" s="19"/>
      <c r="F775" s="9"/>
      <c r="G775" s="21">
        <f>Source!AM655</f>
        <v>3.49</v>
      </c>
      <c r="H775" s="20" t="str">
        <f>Source!DE655</f>
        <v/>
      </c>
      <c r="I775" s="9">
        <f>Source!AV655</f>
        <v>1</v>
      </c>
      <c r="J775" s="9">
        <f>IF(Source!BB655&lt;&gt; 0, Source!BB655, 1)</f>
        <v>1</v>
      </c>
      <c r="K775" s="21">
        <f>Source!Q655</f>
        <v>17.45</v>
      </c>
      <c r="L775" s="21"/>
    </row>
    <row r="776" spans="1:22" ht="14.25" x14ac:dyDescent="0.2">
      <c r="A776" s="18"/>
      <c r="B776" s="18"/>
      <c r="C776" s="18"/>
      <c r="D776" s="18" t="s">
        <v>463</v>
      </c>
      <c r="E776" s="19"/>
      <c r="F776" s="9"/>
      <c r="G776" s="21">
        <f>Source!AN655</f>
        <v>0.05</v>
      </c>
      <c r="H776" s="20" t="str">
        <f>Source!DF655</f>
        <v/>
      </c>
      <c r="I776" s="9">
        <f>Source!AV655</f>
        <v>1</v>
      </c>
      <c r="J776" s="9">
        <f>IF(Source!BS655&lt;&gt; 0, Source!BS655, 1)</f>
        <v>1</v>
      </c>
      <c r="K776" s="23">
        <f>Source!R655</f>
        <v>0.25</v>
      </c>
      <c r="L776" s="21"/>
    </row>
    <row r="777" spans="1:22" ht="14.25" x14ac:dyDescent="0.2">
      <c r="A777" s="18"/>
      <c r="B777" s="18"/>
      <c r="C777" s="18"/>
      <c r="D777" s="18" t="s">
        <v>464</v>
      </c>
      <c r="E777" s="19"/>
      <c r="F777" s="9"/>
      <c r="G777" s="21">
        <f>Source!AL655</f>
        <v>0.94</v>
      </c>
      <c r="H777" s="20" t="str">
        <f>Source!DD655</f>
        <v/>
      </c>
      <c r="I777" s="9">
        <f>Source!AW655</f>
        <v>1</v>
      </c>
      <c r="J777" s="9">
        <f>IF(Source!BC655&lt;&gt; 0, Source!BC655, 1)</f>
        <v>1</v>
      </c>
      <c r="K777" s="21">
        <f>Source!P655</f>
        <v>4.7</v>
      </c>
      <c r="L777" s="21"/>
    </row>
    <row r="778" spans="1:22" ht="14.25" x14ac:dyDescent="0.2">
      <c r="A778" s="18"/>
      <c r="B778" s="18"/>
      <c r="C778" s="18"/>
      <c r="D778" s="18" t="s">
        <v>465</v>
      </c>
      <c r="E778" s="19" t="s">
        <v>466</v>
      </c>
      <c r="F778" s="9">
        <f>Source!AT655</f>
        <v>70</v>
      </c>
      <c r="G778" s="21"/>
      <c r="H778" s="20"/>
      <c r="I778" s="9"/>
      <c r="J778" s="9"/>
      <c r="K778" s="21">
        <f>SUM(R773:R777)</f>
        <v>5759.85</v>
      </c>
      <c r="L778" s="21"/>
    </row>
    <row r="779" spans="1:22" ht="14.25" x14ac:dyDescent="0.2">
      <c r="A779" s="18"/>
      <c r="B779" s="18"/>
      <c r="C779" s="18"/>
      <c r="D779" s="18" t="s">
        <v>467</v>
      </c>
      <c r="E779" s="19" t="s">
        <v>466</v>
      </c>
      <c r="F779" s="9">
        <f>Source!AU655</f>
        <v>10</v>
      </c>
      <c r="G779" s="21"/>
      <c r="H779" s="20"/>
      <c r="I779" s="9"/>
      <c r="J779" s="9"/>
      <c r="K779" s="21">
        <f>SUM(T773:T778)</f>
        <v>822.84</v>
      </c>
      <c r="L779" s="21"/>
    </row>
    <row r="780" spans="1:22" ht="14.25" x14ac:dyDescent="0.2">
      <c r="A780" s="18"/>
      <c r="B780" s="18"/>
      <c r="C780" s="18"/>
      <c r="D780" s="18" t="s">
        <v>468</v>
      </c>
      <c r="E780" s="19" t="s">
        <v>466</v>
      </c>
      <c r="F780" s="9">
        <f>108</f>
        <v>108</v>
      </c>
      <c r="G780" s="21"/>
      <c r="H780" s="20"/>
      <c r="I780" s="9"/>
      <c r="J780" s="9"/>
      <c r="K780" s="21">
        <f>SUM(V773:V779)</f>
        <v>0.27</v>
      </c>
      <c r="L780" s="21"/>
    </row>
    <row r="781" spans="1:22" ht="14.25" x14ac:dyDescent="0.2">
      <c r="A781" s="18"/>
      <c r="B781" s="18"/>
      <c r="C781" s="18"/>
      <c r="D781" s="18" t="s">
        <v>469</v>
      </c>
      <c r="E781" s="19" t="s">
        <v>470</v>
      </c>
      <c r="F781" s="9">
        <f>Source!AQ655</f>
        <v>2.48</v>
      </c>
      <c r="G781" s="21"/>
      <c r="H781" s="20" t="str">
        <f>Source!DI655</f>
        <v/>
      </c>
      <c r="I781" s="9">
        <f>Source!AV655</f>
        <v>1</v>
      </c>
      <c r="J781" s="9"/>
      <c r="K781" s="21"/>
      <c r="L781" s="21">
        <f>Source!U655</f>
        <v>12.4</v>
      </c>
    </row>
    <row r="782" spans="1:22" ht="15" x14ac:dyDescent="0.25">
      <c r="A782" s="26"/>
      <c r="B782" s="26"/>
      <c r="C782" s="26"/>
      <c r="D782" s="26"/>
      <c r="E782" s="26"/>
      <c r="F782" s="26"/>
      <c r="G782" s="26"/>
      <c r="H782" s="26"/>
      <c r="I782" s="26"/>
      <c r="J782" s="53">
        <f>K774+K775+K777+K778+K779+K780</f>
        <v>14833.460000000003</v>
      </c>
      <c r="K782" s="53"/>
      <c r="L782" s="27">
        <f>IF(Source!I655&lt;&gt;0, ROUND(J782/Source!I655, 2), 0)</f>
        <v>2966.69</v>
      </c>
      <c r="P782" s="24">
        <f>J782</f>
        <v>14833.460000000003</v>
      </c>
    </row>
    <row r="784" spans="1:22" ht="15" x14ac:dyDescent="0.25">
      <c r="A784" s="57" t="str">
        <f>CONCATENATE("Итого по подразделу: ",IF(Source!G665&lt;&gt;"Новый подраздел", Source!G665, ""))</f>
        <v>Итого по подразделу: Кондиционирование</v>
      </c>
      <c r="B784" s="57"/>
      <c r="C784" s="57"/>
      <c r="D784" s="57"/>
      <c r="E784" s="57"/>
      <c r="F784" s="57"/>
      <c r="G784" s="57"/>
      <c r="H784" s="57"/>
      <c r="I784" s="57"/>
      <c r="J784" s="55">
        <f>SUM(P762:P783)</f>
        <v>23326.74</v>
      </c>
      <c r="K784" s="56"/>
      <c r="L784" s="28"/>
    </row>
    <row r="787" spans="1:22" ht="16.5" x14ac:dyDescent="0.25">
      <c r="A787" s="54" t="str">
        <f>CONCATENATE("Подраздел: ",IF(Source!G695&lt;&gt;"Новый подраздел", Source!G695, ""))</f>
        <v>Подраздел: Электрооборудование</v>
      </c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</row>
    <row r="788" spans="1:22" ht="71.25" x14ac:dyDescent="0.2">
      <c r="A788" s="18">
        <v>78</v>
      </c>
      <c r="B788" s="18">
        <v>78</v>
      </c>
      <c r="C788" s="18" t="str">
        <f>Source!F699</f>
        <v>1.21-2203-2-5/1</v>
      </c>
      <c r="D788" s="18" t="str">
        <f>Source!G699</f>
        <v>Техническое обслуживание силового распределительного пункта с установочными автоматами, число групп 12 /( Главный распределительный щит )</v>
      </c>
      <c r="E788" s="19" t="str">
        <f>Source!H699</f>
        <v>шт.</v>
      </c>
      <c r="F788" s="9">
        <f>Source!I699</f>
        <v>5</v>
      </c>
      <c r="G788" s="21"/>
      <c r="H788" s="20"/>
      <c r="I788" s="9"/>
      <c r="J788" s="9"/>
      <c r="K788" s="21"/>
      <c r="L788" s="21"/>
      <c r="Q788">
        <f>ROUND((Source!BZ699/100)*ROUND((Source!AF699*Source!AV699)*Source!I699, 2), 2)</f>
        <v>51869.16</v>
      </c>
      <c r="R788">
        <f>Source!X699</f>
        <v>51869.16</v>
      </c>
      <c r="S788">
        <f>ROUND((Source!CA699/100)*ROUND((Source!AF699*Source!AV699)*Source!I699, 2), 2)</f>
        <v>7409.88</v>
      </c>
      <c r="T788">
        <f>Source!Y699</f>
        <v>7409.88</v>
      </c>
      <c r="U788">
        <f>ROUND((175/100)*ROUND((Source!AE699*Source!AV699)*Source!I699, 2), 2)</f>
        <v>0</v>
      </c>
      <c r="V788">
        <f>ROUND((108/100)*ROUND(Source!CS699*Source!I699, 2), 2)</f>
        <v>0</v>
      </c>
    </row>
    <row r="789" spans="1:22" ht="14.25" x14ac:dyDescent="0.2">
      <c r="A789" s="18"/>
      <c r="B789" s="18"/>
      <c r="C789" s="18"/>
      <c r="D789" s="18" t="s">
        <v>461</v>
      </c>
      <c r="E789" s="19"/>
      <c r="F789" s="9"/>
      <c r="G789" s="21">
        <f>Source!AO699</f>
        <v>14819.76</v>
      </c>
      <c r="H789" s="20" t="str">
        <f>Source!DG699</f>
        <v/>
      </c>
      <c r="I789" s="9">
        <f>Source!AV699</f>
        <v>1</v>
      </c>
      <c r="J789" s="9">
        <f>IF(Source!BA699&lt;&gt; 0, Source!BA699, 1)</f>
        <v>1</v>
      </c>
      <c r="K789" s="21">
        <f>Source!S699</f>
        <v>74098.8</v>
      </c>
      <c r="L789" s="21"/>
    </row>
    <row r="790" spans="1:22" ht="14.25" x14ac:dyDescent="0.2">
      <c r="A790" s="18"/>
      <c r="B790" s="18"/>
      <c r="C790" s="18"/>
      <c r="D790" s="18" t="s">
        <v>464</v>
      </c>
      <c r="E790" s="19"/>
      <c r="F790" s="9"/>
      <c r="G790" s="21">
        <f>Source!AL699</f>
        <v>205.53</v>
      </c>
      <c r="H790" s="20" t="str">
        <f>Source!DD699</f>
        <v/>
      </c>
      <c r="I790" s="9">
        <f>Source!AW699</f>
        <v>1</v>
      </c>
      <c r="J790" s="9">
        <f>IF(Source!BC699&lt;&gt; 0, Source!BC699, 1)</f>
        <v>1</v>
      </c>
      <c r="K790" s="21">
        <f>Source!P699</f>
        <v>1027.6500000000001</v>
      </c>
      <c r="L790" s="21"/>
    </row>
    <row r="791" spans="1:22" ht="14.25" x14ac:dyDescent="0.2">
      <c r="A791" s="18"/>
      <c r="B791" s="18"/>
      <c r="C791" s="18"/>
      <c r="D791" s="18" t="s">
        <v>465</v>
      </c>
      <c r="E791" s="19" t="s">
        <v>466</v>
      </c>
      <c r="F791" s="9">
        <f>Source!AT699</f>
        <v>70</v>
      </c>
      <c r="G791" s="21"/>
      <c r="H791" s="20"/>
      <c r="I791" s="9"/>
      <c r="J791" s="9"/>
      <c r="K791" s="21">
        <f>SUM(R788:R790)</f>
        <v>51869.16</v>
      </c>
      <c r="L791" s="21"/>
    </row>
    <row r="792" spans="1:22" ht="14.25" x14ac:dyDescent="0.2">
      <c r="A792" s="18"/>
      <c r="B792" s="18"/>
      <c r="C792" s="18"/>
      <c r="D792" s="18" t="s">
        <v>467</v>
      </c>
      <c r="E792" s="19" t="s">
        <v>466</v>
      </c>
      <c r="F792" s="9">
        <f>Source!AU699</f>
        <v>10</v>
      </c>
      <c r="G792" s="21"/>
      <c r="H792" s="20"/>
      <c r="I792" s="9"/>
      <c r="J792" s="9"/>
      <c r="K792" s="21">
        <f>SUM(T788:T791)</f>
        <v>7409.88</v>
      </c>
      <c r="L792" s="21"/>
    </row>
    <row r="793" spans="1:22" ht="14.25" x14ac:dyDescent="0.2">
      <c r="A793" s="18"/>
      <c r="B793" s="18"/>
      <c r="C793" s="18"/>
      <c r="D793" s="18" t="s">
        <v>469</v>
      </c>
      <c r="E793" s="19" t="s">
        <v>470</v>
      </c>
      <c r="F793" s="9">
        <f>Source!AQ699</f>
        <v>24</v>
      </c>
      <c r="G793" s="21"/>
      <c r="H793" s="20" t="str">
        <f>Source!DI699</f>
        <v/>
      </c>
      <c r="I793" s="9">
        <f>Source!AV699</f>
        <v>1</v>
      </c>
      <c r="J793" s="9"/>
      <c r="K793" s="21"/>
      <c r="L793" s="21">
        <f>Source!U699</f>
        <v>120</v>
      </c>
    </row>
    <row r="794" spans="1:22" ht="15" x14ac:dyDescent="0.25">
      <c r="A794" s="26"/>
      <c r="B794" s="26"/>
      <c r="C794" s="26"/>
      <c r="D794" s="26"/>
      <c r="E794" s="26"/>
      <c r="F794" s="26"/>
      <c r="G794" s="26"/>
      <c r="H794" s="26"/>
      <c r="I794" s="26"/>
      <c r="J794" s="53">
        <f>K789+K790+K791+K792</f>
        <v>134405.49</v>
      </c>
      <c r="K794" s="53"/>
      <c r="L794" s="27">
        <f>IF(Source!I699&lt;&gt;0, ROUND(J794/Source!I699, 2), 0)</f>
        <v>26881.1</v>
      </c>
      <c r="P794" s="24">
        <f>J794</f>
        <v>134405.49</v>
      </c>
    </row>
    <row r="795" spans="1:22" ht="57" x14ac:dyDescent="0.2">
      <c r="A795" s="18">
        <v>79</v>
      </c>
      <c r="B795" s="18">
        <v>79</v>
      </c>
      <c r="C795" s="18" t="str">
        <f>Source!F702</f>
        <v>1.21-2303-50-1/1</v>
      </c>
      <c r="D795" s="18" t="str">
        <f>Source!G702</f>
        <v>Техническое обслуживание  конвектора электрического настенного крепления, с механическим термостатом, мощность до 2,0 кВт</v>
      </c>
      <c r="E795" s="19" t="str">
        <f>Source!H702</f>
        <v>шт.</v>
      </c>
      <c r="F795" s="9">
        <f>Source!I702</f>
        <v>15</v>
      </c>
      <c r="G795" s="21"/>
      <c r="H795" s="20"/>
      <c r="I795" s="9"/>
      <c r="J795" s="9"/>
      <c r="K795" s="21"/>
      <c r="L795" s="21"/>
      <c r="Q795">
        <f>ROUND((Source!BZ702/100)*ROUND((Source!AF702*Source!AV702)*Source!I702, 2), 2)</f>
        <v>907.73</v>
      </c>
      <c r="R795">
        <f>Source!X702</f>
        <v>907.73</v>
      </c>
      <c r="S795">
        <f>ROUND((Source!CA702/100)*ROUND((Source!AF702*Source!AV702)*Source!I702, 2), 2)</f>
        <v>129.68</v>
      </c>
      <c r="T795">
        <f>Source!Y702</f>
        <v>129.68</v>
      </c>
      <c r="U795">
        <f>ROUND((175/100)*ROUND((Source!AE702*Source!AV702)*Source!I702, 2), 2)</f>
        <v>0</v>
      </c>
      <c r="V795">
        <f>ROUND((108/100)*ROUND(Source!CS702*Source!I702, 2), 2)</f>
        <v>0</v>
      </c>
    </row>
    <row r="796" spans="1:22" x14ac:dyDescent="0.2">
      <c r="D796" s="22" t="str">
        <f>"Объем: "&amp;Source!I702&amp;"=3*"&amp;"5"</f>
        <v>Объем: 15=3*5</v>
      </c>
    </row>
    <row r="797" spans="1:22" ht="14.25" x14ac:dyDescent="0.2">
      <c r="A797" s="18"/>
      <c r="B797" s="18"/>
      <c r="C797" s="18"/>
      <c r="D797" s="18" t="s">
        <v>461</v>
      </c>
      <c r="E797" s="19"/>
      <c r="F797" s="9"/>
      <c r="G797" s="21">
        <f>Source!AO702</f>
        <v>86.45</v>
      </c>
      <c r="H797" s="20" t="str">
        <f>Source!DG702</f>
        <v/>
      </c>
      <c r="I797" s="9">
        <f>Source!AV702</f>
        <v>1</v>
      </c>
      <c r="J797" s="9">
        <f>IF(Source!BA702&lt;&gt; 0, Source!BA702, 1)</f>
        <v>1</v>
      </c>
      <c r="K797" s="21">
        <f>Source!S702</f>
        <v>1296.75</v>
      </c>
      <c r="L797" s="21"/>
    </row>
    <row r="798" spans="1:22" ht="14.25" x14ac:dyDescent="0.2">
      <c r="A798" s="18"/>
      <c r="B798" s="18"/>
      <c r="C798" s="18"/>
      <c r="D798" s="18" t="s">
        <v>462</v>
      </c>
      <c r="E798" s="19"/>
      <c r="F798" s="9"/>
      <c r="G798" s="21">
        <f>Source!AM702</f>
        <v>0.23</v>
      </c>
      <c r="H798" s="20" t="str">
        <f>Source!DE702</f>
        <v/>
      </c>
      <c r="I798" s="9">
        <f>Source!AV702</f>
        <v>1</v>
      </c>
      <c r="J798" s="9">
        <f>IF(Source!BB702&lt;&gt; 0, Source!BB702, 1)</f>
        <v>1</v>
      </c>
      <c r="K798" s="21">
        <f>Source!Q702</f>
        <v>3.45</v>
      </c>
      <c r="L798" s="21"/>
    </row>
    <row r="799" spans="1:22" ht="14.25" x14ac:dyDescent="0.2">
      <c r="A799" s="18"/>
      <c r="B799" s="18"/>
      <c r="C799" s="18"/>
      <c r="D799" s="18" t="s">
        <v>464</v>
      </c>
      <c r="E799" s="19"/>
      <c r="F799" s="9"/>
      <c r="G799" s="21">
        <f>Source!AL702</f>
        <v>2.2000000000000002</v>
      </c>
      <c r="H799" s="20" t="str">
        <f>Source!DD702</f>
        <v/>
      </c>
      <c r="I799" s="9">
        <f>Source!AW702</f>
        <v>1</v>
      </c>
      <c r="J799" s="9">
        <f>IF(Source!BC702&lt;&gt; 0, Source!BC702, 1)</f>
        <v>1</v>
      </c>
      <c r="K799" s="21">
        <f>Source!P702</f>
        <v>33</v>
      </c>
      <c r="L799" s="21"/>
    </row>
    <row r="800" spans="1:22" ht="14.25" x14ac:dyDescent="0.2">
      <c r="A800" s="18"/>
      <c r="B800" s="18"/>
      <c r="C800" s="18"/>
      <c r="D800" s="18" t="s">
        <v>465</v>
      </c>
      <c r="E800" s="19" t="s">
        <v>466</v>
      </c>
      <c r="F800" s="9">
        <f>Source!AT702</f>
        <v>70</v>
      </c>
      <c r="G800" s="21"/>
      <c r="H800" s="20"/>
      <c r="I800" s="9"/>
      <c r="J800" s="9"/>
      <c r="K800" s="21">
        <f>SUM(R795:R799)</f>
        <v>907.73</v>
      </c>
      <c r="L800" s="21"/>
    </row>
    <row r="801" spans="1:22" ht="14.25" x14ac:dyDescent="0.2">
      <c r="A801" s="18"/>
      <c r="B801" s="18"/>
      <c r="C801" s="18"/>
      <c r="D801" s="18" t="s">
        <v>467</v>
      </c>
      <c r="E801" s="19" t="s">
        <v>466</v>
      </c>
      <c r="F801" s="9">
        <f>Source!AU702</f>
        <v>10</v>
      </c>
      <c r="G801" s="21"/>
      <c r="H801" s="20"/>
      <c r="I801" s="9"/>
      <c r="J801" s="9"/>
      <c r="K801" s="21">
        <f>SUM(T795:T800)</f>
        <v>129.68</v>
      </c>
      <c r="L801" s="21"/>
    </row>
    <row r="802" spans="1:22" ht="14.25" x14ac:dyDescent="0.2">
      <c r="A802" s="18"/>
      <c r="B802" s="18"/>
      <c r="C802" s="18"/>
      <c r="D802" s="18" t="s">
        <v>469</v>
      </c>
      <c r="E802" s="19" t="s">
        <v>470</v>
      </c>
      <c r="F802" s="9">
        <f>Source!AQ702</f>
        <v>0.14000000000000001</v>
      </c>
      <c r="G802" s="21"/>
      <c r="H802" s="20" t="str">
        <f>Source!DI702</f>
        <v/>
      </c>
      <c r="I802" s="9">
        <f>Source!AV702</f>
        <v>1</v>
      </c>
      <c r="J802" s="9"/>
      <c r="K802" s="21"/>
      <c r="L802" s="21">
        <f>Source!U702</f>
        <v>2.1</v>
      </c>
    </row>
    <row r="803" spans="1:22" ht="15" x14ac:dyDescent="0.25">
      <c r="A803" s="26"/>
      <c r="B803" s="26"/>
      <c r="C803" s="26"/>
      <c r="D803" s="26"/>
      <c r="E803" s="26"/>
      <c r="F803" s="26"/>
      <c r="G803" s="26"/>
      <c r="H803" s="26"/>
      <c r="I803" s="26"/>
      <c r="J803" s="53">
        <f>K797+K798+K799+K800+K801</f>
        <v>2370.61</v>
      </c>
      <c r="K803" s="53"/>
      <c r="L803" s="27">
        <f>IF(Source!I702&lt;&gt;0, ROUND(J803/Source!I702, 2), 0)</f>
        <v>158.04</v>
      </c>
      <c r="P803" s="24">
        <f>J803</f>
        <v>2370.61</v>
      </c>
    </row>
    <row r="804" spans="1:22" ht="165" x14ac:dyDescent="0.2">
      <c r="A804" s="18">
        <v>80</v>
      </c>
      <c r="B804" s="18">
        <v>80</v>
      </c>
      <c r="C804" s="18" t="s">
        <v>473</v>
      </c>
      <c r="D804" s="18" t="s">
        <v>474</v>
      </c>
      <c r="E804" s="19" t="str">
        <f>Source!H710</f>
        <v>шт.</v>
      </c>
      <c r="F804" s="9">
        <f>Source!I710</f>
        <v>10</v>
      </c>
      <c r="G804" s="21"/>
      <c r="H804" s="20"/>
      <c r="I804" s="9"/>
      <c r="J804" s="9"/>
      <c r="K804" s="21"/>
      <c r="L804" s="21"/>
      <c r="Q804">
        <f>ROUND((Source!BZ710/100)*ROUND((Source!AF710*Source!AV710)*Source!I710, 2), 2)</f>
        <v>1227.77</v>
      </c>
      <c r="R804">
        <f>Source!X710</f>
        <v>1227.77</v>
      </c>
      <c r="S804">
        <f>ROUND((Source!CA710/100)*ROUND((Source!AF710*Source!AV710)*Source!I710, 2), 2)</f>
        <v>175.4</v>
      </c>
      <c r="T804">
        <f>Source!Y710</f>
        <v>175.4</v>
      </c>
      <c r="U804">
        <f>ROUND((175/100)*ROUND((Source!AE710*Source!AV710)*Source!I710, 2), 2)</f>
        <v>0</v>
      </c>
      <c r="V804">
        <f>ROUND((108/100)*ROUND(Source!CS710*Source!I710, 2), 2)</f>
        <v>0</v>
      </c>
    </row>
    <row r="805" spans="1:22" x14ac:dyDescent="0.2">
      <c r="D805" s="22" t="str">
        <f>"Объем: "&amp;Source!I710&amp;"=(2)*"&amp;"5"</f>
        <v>Объем: 10=(2)*5</v>
      </c>
    </row>
    <row r="806" spans="1:22" ht="14.25" x14ac:dyDescent="0.2">
      <c r="A806" s="18"/>
      <c r="B806" s="18"/>
      <c r="C806" s="18"/>
      <c r="D806" s="18" t="s">
        <v>461</v>
      </c>
      <c r="E806" s="19"/>
      <c r="F806" s="9"/>
      <c r="G806" s="21">
        <f>Source!AO710</f>
        <v>168.65</v>
      </c>
      <c r="H806" s="20" t="str">
        <f>Source!DG710</f>
        <v>)*1,04</v>
      </c>
      <c r="I806" s="9">
        <f>Source!AV710</f>
        <v>1</v>
      </c>
      <c r="J806" s="9">
        <f>IF(Source!BA710&lt;&gt; 0, Source!BA710, 1)</f>
        <v>1</v>
      </c>
      <c r="K806" s="21">
        <f>Source!S710</f>
        <v>1753.96</v>
      </c>
      <c r="L806" s="21"/>
    </row>
    <row r="807" spans="1:22" ht="14.25" x14ac:dyDescent="0.2">
      <c r="A807" s="18"/>
      <c r="B807" s="18"/>
      <c r="C807" s="18"/>
      <c r="D807" s="18" t="s">
        <v>464</v>
      </c>
      <c r="E807" s="19"/>
      <c r="F807" s="9"/>
      <c r="G807" s="21">
        <f>Source!AL710</f>
        <v>0.63</v>
      </c>
      <c r="H807" s="20" t="str">
        <f>Source!DD710</f>
        <v/>
      </c>
      <c r="I807" s="9">
        <f>Source!AW710</f>
        <v>1</v>
      </c>
      <c r="J807" s="9">
        <f>IF(Source!BC710&lt;&gt; 0, Source!BC710, 1)</f>
        <v>1</v>
      </c>
      <c r="K807" s="21">
        <f>Source!P710</f>
        <v>6.3</v>
      </c>
      <c r="L807" s="21"/>
    </row>
    <row r="808" spans="1:22" ht="14.25" x14ac:dyDescent="0.2">
      <c r="A808" s="18"/>
      <c r="B808" s="18"/>
      <c r="C808" s="18"/>
      <c r="D808" s="18" t="s">
        <v>465</v>
      </c>
      <c r="E808" s="19" t="s">
        <v>466</v>
      </c>
      <c r="F808" s="9">
        <f>Source!AT710</f>
        <v>70</v>
      </c>
      <c r="G808" s="21"/>
      <c r="H808" s="20"/>
      <c r="I808" s="9"/>
      <c r="J808" s="9"/>
      <c r="K808" s="21">
        <f>SUM(R804:R807)</f>
        <v>1227.77</v>
      </c>
      <c r="L808" s="21"/>
    </row>
    <row r="809" spans="1:22" ht="14.25" x14ac:dyDescent="0.2">
      <c r="A809" s="18"/>
      <c r="B809" s="18"/>
      <c r="C809" s="18"/>
      <c r="D809" s="18" t="s">
        <v>467</v>
      </c>
      <c r="E809" s="19" t="s">
        <v>466</v>
      </c>
      <c r="F809" s="9">
        <f>Source!AU710</f>
        <v>10</v>
      </c>
      <c r="G809" s="21"/>
      <c r="H809" s="20"/>
      <c r="I809" s="9"/>
      <c r="J809" s="9"/>
      <c r="K809" s="21">
        <f>SUM(T804:T808)</f>
        <v>175.4</v>
      </c>
      <c r="L809" s="21"/>
    </row>
    <row r="810" spans="1:22" ht="14.25" x14ac:dyDescent="0.2">
      <c r="A810" s="18"/>
      <c r="B810" s="18"/>
      <c r="C810" s="18"/>
      <c r="D810" s="18" t="s">
        <v>469</v>
      </c>
      <c r="E810" s="19" t="s">
        <v>470</v>
      </c>
      <c r="F810" s="9">
        <f>Source!AQ710</f>
        <v>0.3</v>
      </c>
      <c r="G810" s="21"/>
      <c r="H810" s="20" t="str">
        <f>Source!DI710</f>
        <v>)*1,04</v>
      </c>
      <c r="I810" s="9">
        <f>Source!AV710</f>
        <v>1</v>
      </c>
      <c r="J810" s="9"/>
      <c r="K810" s="21"/>
      <c r="L810" s="21">
        <f>Source!U710</f>
        <v>3.12</v>
      </c>
    </row>
    <row r="811" spans="1:22" ht="15" x14ac:dyDescent="0.25">
      <c r="A811" s="26"/>
      <c r="B811" s="26"/>
      <c r="C811" s="26"/>
      <c r="D811" s="26"/>
      <c r="E811" s="26"/>
      <c r="F811" s="26"/>
      <c r="G811" s="26"/>
      <c r="H811" s="26"/>
      <c r="I811" s="26"/>
      <c r="J811" s="53">
        <f>K806+K807+K808+K809</f>
        <v>3163.43</v>
      </c>
      <c r="K811" s="53"/>
      <c r="L811" s="27">
        <f>IF(Source!I710&lt;&gt;0, ROUND(J811/Source!I710, 2), 0)</f>
        <v>316.33999999999997</v>
      </c>
      <c r="P811" s="24">
        <f>J811</f>
        <v>3163.43</v>
      </c>
    </row>
    <row r="812" spans="1:22" ht="108" x14ac:dyDescent="0.2">
      <c r="A812" s="18">
        <v>81</v>
      </c>
      <c r="B812" s="18">
        <v>81</v>
      </c>
      <c r="C812" s="18" t="s">
        <v>475</v>
      </c>
      <c r="D812" s="18" t="s">
        <v>476</v>
      </c>
      <c r="E812" s="19" t="str">
        <f>Source!H711</f>
        <v>шт.</v>
      </c>
      <c r="F812" s="9">
        <f>Source!I711</f>
        <v>35</v>
      </c>
      <c r="G812" s="21"/>
      <c r="H812" s="20"/>
      <c r="I812" s="9"/>
      <c r="J812" s="9"/>
      <c r="K812" s="21"/>
      <c r="L812" s="21"/>
      <c r="Q812">
        <f>ROUND((Source!BZ711/100)*ROUND((Source!AF711*Source!AV711)*Source!I711, 2), 2)</f>
        <v>5729.69</v>
      </c>
      <c r="R812">
        <f>Source!X711</f>
        <v>5729.69</v>
      </c>
      <c r="S812">
        <f>ROUND((Source!CA711/100)*ROUND((Source!AF711*Source!AV711)*Source!I711, 2), 2)</f>
        <v>818.53</v>
      </c>
      <c r="T812">
        <f>Source!Y711</f>
        <v>818.53</v>
      </c>
      <c r="U812">
        <f>ROUND((175/100)*ROUND((Source!AE711*Source!AV711)*Source!I711, 2), 2)</f>
        <v>0</v>
      </c>
      <c r="V812">
        <f>ROUND((108/100)*ROUND(Source!CS711*Source!I711, 2), 2)</f>
        <v>0</v>
      </c>
    </row>
    <row r="813" spans="1:22" x14ac:dyDescent="0.2">
      <c r="D813" s="22" t="str">
        <f>"Объем: "&amp;Source!I711&amp;"=7*"&amp;"5"</f>
        <v>Объем: 35=7*5</v>
      </c>
    </row>
    <row r="814" spans="1:22" ht="14.25" x14ac:dyDescent="0.2">
      <c r="A814" s="18"/>
      <c r="B814" s="18"/>
      <c r="C814" s="18"/>
      <c r="D814" s="18" t="s">
        <v>461</v>
      </c>
      <c r="E814" s="19"/>
      <c r="F814" s="9"/>
      <c r="G814" s="21">
        <f>Source!AO711</f>
        <v>224.87</v>
      </c>
      <c r="H814" s="20" t="str">
        <f>Source!DG711</f>
        <v>)*1,04</v>
      </c>
      <c r="I814" s="9">
        <f>Source!AV711</f>
        <v>1</v>
      </c>
      <c r="J814" s="9">
        <f>IF(Source!BA711&lt;&gt; 0, Source!BA711, 1)</f>
        <v>1</v>
      </c>
      <c r="K814" s="21">
        <f>Source!S711</f>
        <v>8185.27</v>
      </c>
      <c r="L814" s="21"/>
    </row>
    <row r="815" spans="1:22" ht="14.25" x14ac:dyDescent="0.2">
      <c r="A815" s="18"/>
      <c r="B815" s="18"/>
      <c r="C815" s="18"/>
      <c r="D815" s="18" t="s">
        <v>464</v>
      </c>
      <c r="E815" s="19"/>
      <c r="F815" s="9"/>
      <c r="G815" s="21">
        <f>Source!AL711</f>
        <v>1.26</v>
      </c>
      <c r="H815" s="20" t="str">
        <f>Source!DD711</f>
        <v/>
      </c>
      <c r="I815" s="9">
        <f>Source!AW711</f>
        <v>1</v>
      </c>
      <c r="J815" s="9">
        <f>IF(Source!BC711&lt;&gt; 0, Source!BC711, 1)</f>
        <v>1</v>
      </c>
      <c r="K815" s="21">
        <f>Source!P711</f>
        <v>44.1</v>
      </c>
      <c r="L815" s="21"/>
    </row>
    <row r="816" spans="1:22" ht="14.25" x14ac:dyDescent="0.2">
      <c r="A816" s="18"/>
      <c r="B816" s="18"/>
      <c r="C816" s="18"/>
      <c r="D816" s="18" t="s">
        <v>465</v>
      </c>
      <c r="E816" s="19" t="s">
        <v>466</v>
      </c>
      <c r="F816" s="9">
        <f>Source!AT711</f>
        <v>70</v>
      </c>
      <c r="G816" s="21"/>
      <c r="H816" s="20"/>
      <c r="I816" s="9"/>
      <c r="J816" s="9"/>
      <c r="K816" s="21">
        <f>SUM(R812:R815)</f>
        <v>5729.69</v>
      </c>
      <c r="L816" s="21"/>
    </row>
    <row r="817" spans="1:22" ht="14.25" x14ac:dyDescent="0.2">
      <c r="A817" s="18"/>
      <c r="B817" s="18"/>
      <c r="C817" s="18"/>
      <c r="D817" s="18" t="s">
        <v>467</v>
      </c>
      <c r="E817" s="19" t="s">
        <v>466</v>
      </c>
      <c r="F817" s="9">
        <f>Source!AU711</f>
        <v>10</v>
      </c>
      <c r="G817" s="21"/>
      <c r="H817" s="20"/>
      <c r="I817" s="9"/>
      <c r="J817" s="9"/>
      <c r="K817" s="21">
        <f>SUM(T812:T816)</f>
        <v>818.53</v>
      </c>
      <c r="L817" s="21"/>
    </row>
    <row r="818" spans="1:22" ht="14.25" x14ac:dyDescent="0.2">
      <c r="A818" s="18"/>
      <c r="B818" s="18"/>
      <c r="C818" s="18"/>
      <c r="D818" s="18" t="s">
        <v>469</v>
      </c>
      <c r="E818" s="19" t="s">
        <v>470</v>
      </c>
      <c r="F818" s="9">
        <f>Source!AQ711</f>
        <v>0.4</v>
      </c>
      <c r="G818" s="21"/>
      <c r="H818" s="20" t="str">
        <f>Source!DI711</f>
        <v>)*1,04</v>
      </c>
      <c r="I818" s="9">
        <f>Source!AV711</f>
        <v>1</v>
      </c>
      <c r="J818" s="9"/>
      <c r="K818" s="21"/>
      <c r="L818" s="21">
        <f>Source!U711</f>
        <v>14.56</v>
      </c>
    </row>
    <row r="819" spans="1:22" ht="15" x14ac:dyDescent="0.25">
      <c r="A819" s="26"/>
      <c r="B819" s="26"/>
      <c r="C819" s="26"/>
      <c r="D819" s="26"/>
      <c r="E819" s="26"/>
      <c r="F819" s="26"/>
      <c r="G819" s="26"/>
      <c r="H819" s="26"/>
      <c r="I819" s="26"/>
      <c r="J819" s="53">
        <f>K814+K815+K816+K817</f>
        <v>14777.590000000002</v>
      </c>
      <c r="K819" s="53"/>
      <c r="L819" s="27">
        <f>IF(Source!I711&lt;&gt;0, ROUND(J819/Source!I711, 2), 0)</f>
        <v>422.22</v>
      </c>
      <c r="P819" s="24">
        <f>J819</f>
        <v>14777.590000000002</v>
      </c>
    </row>
    <row r="820" spans="1:22" ht="28.5" x14ac:dyDescent="0.2">
      <c r="A820" s="18">
        <v>82</v>
      </c>
      <c r="B820" s="18">
        <v>82</v>
      </c>
      <c r="C820" s="18" t="str">
        <f>Source!F713</f>
        <v>1.18-2303-3-1/1</v>
      </c>
      <c r="D820" s="18" t="str">
        <f>Source!G713</f>
        <v>Техническое обслуживание канального вентилятора - ежемесячное</v>
      </c>
      <c r="E820" s="19" t="str">
        <f>Source!H713</f>
        <v>шт.</v>
      </c>
      <c r="F820" s="9">
        <f>Source!I713</f>
        <v>5</v>
      </c>
      <c r="G820" s="21"/>
      <c r="H820" s="20"/>
      <c r="I820" s="9"/>
      <c r="J820" s="9"/>
      <c r="K820" s="21"/>
      <c r="L820" s="21"/>
      <c r="Q820">
        <f>ROUND((Source!BZ713/100)*ROUND((Source!AF713*Source!AV713)*Source!I713, 2), 2)</f>
        <v>4257.68</v>
      </c>
      <c r="R820">
        <f>Source!X713</f>
        <v>4257.68</v>
      </c>
      <c r="S820">
        <f>ROUND((Source!CA713/100)*ROUND((Source!AF713*Source!AV713)*Source!I713, 2), 2)</f>
        <v>608.24</v>
      </c>
      <c r="T820">
        <f>Source!Y713</f>
        <v>608.24</v>
      </c>
      <c r="U820">
        <f>ROUND((175/100)*ROUND((Source!AE713*Source!AV713)*Source!I713, 2), 2)</f>
        <v>0</v>
      </c>
      <c r="V820">
        <f>ROUND((108/100)*ROUND(Source!CS713*Source!I713, 2), 2)</f>
        <v>0</v>
      </c>
    </row>
    <row r="821" spans="1:22" x14ac:dyDescent="0.2">
      <c r="D821" s="22" t="str">
        <f>"Объем: "&amp;Source!I713&amp;"=1*"&amp;"5"</f>
        <v>Объем: 5=1*5</v>
      </c>
    </row>
    <row r="822" spans="1:22" ht="14.25" x14ac:dyDescent="0.2">
      <c r="A822" s="18"/>
      <c r="B822" s="18"/>
      <c r="C822" s="18"/>
      <c r="D822" s="18" t="s">
        <v>461</v>
      </c>
      <c r="E822" s="19"/>
      <c r="F822" s="9"/>
      <c r="G822" s="21">
        <f>Source!AO713</f>
        <v>304.12</v>
      </c>
      <c r="H822" s="20" t="str">
        <f>Source!DG713</f>
        <v>)*4</v>
      </c>
      <c r="I822" s="9">
        <f>Source!AV713</f>
        <v>1</v>
      </c>
      <c r="J822" s="9">
        <f>IF(Source!BA713&lt;&gt; 0, Source!BA713, 1)</f>
        <v>1</v>
      </c>
      <c r="K822" s="21">
        <f>Source!S713</f>
        <v>6082.4</v>
      </c>
      <c r="L822" s="21"/>
    </row>
    <row r="823" spans="1:22" ht="14.25" x14ac:dyDescent="0.2">
      <c r="A823" s="18"/>
      <c r="B823" s="18"/>
      <c r="C823" s="18"/>
      <c r="D823" s="18" t="s">
        <v>465</v>
      </c>
      <c r="E823" s="19" t="s">
        <v>466</v>
      </c>
      <c r="F823" s="9">
        <f>Source!AT713</f>
        <v>70</v>
      </c>
      <c r="G823" s="21"/>
      <c r="H823" s="20"/>
      <c r="I823" s="9"/>
      <c r="J823" s="9"/>
      <c r="K823" s="21">
        <f>SUM(R820:R822)</f>
        <v>4257.68</v>
      </c>
      <c r="L823" s="21"/>
    </row>
    <row r="824" spans="1:22" ht="14.25" x14ac:dyDescent="0.2">
      <c r="A824" s="18"/>
      <c r="B824" s="18"/>
      <c r="C824" s="18"/>
      <c r="D824" s="18" t="s">
        <v>467</v>
      </c>
      <c r="E824" s="19" t="s">
        <v>466</v>
      </c>
      <c r="F824" s="9">
        <f>Source!AU713</f>
        <v>10</v>
      </c>
      <c r="G824" s="21"/>
      <c r="H824" s="20"/>
      <c r="I824" s="9"/>
      <c r="J824" s="9"/>
      <c r="K824" s="21">
        <f>SUM(T820:T823)</f>
        <v>608.24</v>
      </c>
      <c r="L824" s="21"/>
    </row>
    <row r="825" spans="1:22" ht="14.25" x14ac:dyDescent="0.2">
      <c r="A825" s="18"/>
      <c r="B825" s="18"/>
      <c r="C825" s="18"/>
      <c r="D825" s="18" t="s">
        <v>469</v>
      </c>
      <c r="E825" s="19" t="s">
        <v>470</v>
      </c>
      <c r="F825" s="9">
        <f>Source!AQ713</f>
        <v>0.5</v>
      </c>
      <c r="G825" s="21"/>
      <c r="H825" s="20" t="str">
        <f>Source!DI713</f>
        <v>)*4</v>
      </c>
      <c r="I825" s="9">
        <f>Source!AV713</f>
        <v>1</v>
      </c>
      <c r="J825" s="9"/>
      <c r="K825" s="21"/>
      <c r="L825" s="21">
        <f>Source!U713</f>
        <v>10</v>
      </c>
    </row>
    <row r="826" spans="1:22" ht="15" x14ac:dyDescent="0.25">
      <c r="A826" s="26"/>
      <c r="B826" s="26"/>
      <c r="C826" s="26"/>
      <c r="D826" s="26"/>
      <c r="E826" s="26"/>
      <c r="F826" s="26"/>
      <c r="G826" s="26"/>
      <c r="H826" s="26"/>
      <c r="I826" s="26"/>
      <c r="J826" s="53">
        <f>K822+K823+K824</f>
        <v>10948.32</v>
      </c>
      <c r="K826" s="53"/>
      <c r="L826" s="27">
        <f>IF(Source!I713&lt;&gt;0, ROUND(J826/Source!I713, 2), 0)</f>
        <v>2189.66</v>
      </c>
      <c r="P826" s="24">
        <f>J826</f>
        <v>10948.32</v>
      </c>
    </row>
    <row r="827" spans="1:22" ht="28.5" x14ac:dyDescent="0.2">
      <c r="A827" s="18">
        <v>83</v>
      </c>
      <c r="B827" s="18">
        <v>83</v>
      </c>
      <c r="C827" s="18" t="str">
        <f>Source!F716</f>
        <v>1.23-2103-6-1/1</v>
      </c>
      <c r="D827" s="18" t="str">
        <f>Source!G716</f>
        <v>Техническое обслуживание выключателей поплавковых</v>
      </c>
      <c r="E827" s="19" t="str">
        <f>Source!H716</f>
        <v>100 шт.</v>
      </c>
      <c r="F827" s="9">
        <f>Source!I716</f>
        <v>0.2</v>
      </c>
      <c r="G827" s="21"/>
      <c r="H827" s="20"/>
      <c r="I827" s="9"/>
      <c r="J827" s="9"/>
      <c r="K827" s="21"/>
      <c r="L827" s="21"/>
      <c r="Q827">
        <f>ROUND((Source!BZ716/100)*ROUND((Source!AF716*Source!AV716)*Source!I716, 2), 2)</f>
        <v>1798.66</v>
      </c>
      <c r="R827">
        <f>Source!X716</f>
        <v>1798.66</v>
      </c>
      <c r="S827">
        <f>ROUND((Source!CA716/100)*ROUND((Source!AF716*Source!AV716)*Source!I716, 2), 2)</f>
        <v>256.95</v>
      </c>
      <c r="T827">
        <f>Source!Y716</f>
        <v>256.95</v>
      </c>
      <c r="U827">
        <f>ROUND((175/100)*ROUND((Source!AE716*Source!AV716)*Source!I716, 2), 2)</f>
        <v>809.67</v>
      </c>
      <c r="V827">
        <f>ROUND((108/100)*ROUND(Source!CS716*Source!I716, 2), 2)</f>
        <v>499.68</v>
      </c>
    </row>
    <row r="828" spans="1:22" x14ac:dyDescent="0.2">
      <c r="D828" s="22" t="str">
        <f>"Объем: "&amp;Source!I716&amp;"=(4*"&amp;"5)/"&amp;"100"</f>
        <v>Объем: 0,2=(4*5)/100</v>
      </c>
    </row>
    <row r="829" spans="1:22" ht="14.25" x14ac:dyDescent="0.2">
      <c r="A829" s="18"/>
      <c r="B829" s="18"/>
      <c r="C829" s="18"/>
      <c r="D829" s="18" t="s">
        <v>461</v>
      </c>
      <c r="E829" s="19"/>
      <c r="F829" s="9"/>
      <c r="G829" s="21">
        <f>Source!AO716</f>
        <v>3211.89</v>
      </c>
      <c r="H829" s="20" t="str">
        <f>Source!DG716</f>
        <v>)*4</v>
      </c>
      <c r="I829" s="9">
        <f>Source!AV716</f>
        <v>1</v>
      </c>
      <c r="J829" s="9">
        <f>IF(Source!BA716&lt;&gt; 0, Source!BA716, 1)</f>
        <v>1</v>
      </c>
      <c r="K829" s="21">
        <f>Source!S716</f>
        <v>2569.5100000000002</v>
      </c>
      <c r="L829" s="21"/>
    </row>
    <row r="830" spans="1:22" ht="14.25" x14ac:dyDescent="0.2">
      <c r="A830" s="18"/>
      <c r="B830" s="18"/>
      <c r="C830" s="18"/>
      <c r="D830" s="18" t="s">
        <v>462</v>
      </c>
      <c r="E830" s="19"/>
      <c r="F830" s="9"/>
      <c r="G830" s="21">
        <f>Source!AM716</f>
        <v>912.11</v>
      </c>
      <c r="H830" s="20" t="str">
        <f>Source!DE716</f>
        <v>)*4</v>
      </c>
      <c r="I830" s="9">
        <f>Source!AV716</f>
        <v>1</v>
      </c>
      <c r="J830" s="9">
        <f>IF(Source!BB716&lt;&gt; 0, Source!BB716, 1)</f>
        <v>1</v>
      </c>
      <c r="K830" s="21">
        <f>Source!Q716</f>
        <v>729.69</v>
      </c>
      <c r="L830" s="21"/>
    </row>
    <row r="831" spans="1:22" ht="14.25" x14ac:dyDescent="0.2">
      <c r="A831" s="18"/>
      <c r="B831" s="18"/>
      <c r="C831" s="18"/>
      <c r="D831" s="18" t="s">
        <v>463</v>
      </c>
      <c r="E831" s="19"/>
      <c r="F831" s="9"/>
      <c r="G831" s="21">
        <f>Source!AN716</f>
        <v>578.34</v>
      </c>
      <c r="H831" s="20" t="str">
        <f>Source!DF716</f>
        <v>)*4</v>
      </c>
      <c r="I831" s="9">
        <f>Source!AV716</f>
        <v>1</v>
      </c>
      <c r="J831" s="9">
        <f>IF(Source!BS716&lt;&gt; 0, Source!BS716, 1)</f>
        <v>1</v>
      </c>
      <c r="K831" s="23">
        <f>Source!R716</f>
        <v>462.67</v>
      </c>
      <c r="L831" s="21"/>
    </row>
    <row r="832" spans="1:22" ht="14.25" x14ac:dyDescent="0.2">
      <c r="A832" s="18"/>
      <c r="B832" s="18"/>
      <c r="C832" s="18"/>
      <c r="D832" s="18" t="s">
        <v>464</v>
      </c>
      <c r="E832" s="19"/>
      <c r="F832" s="9"/>
      <c r="G832" s="21">
        <f>Source!AL716</f>
        <v>0.94</v>
      </c>
      <c r="H832" s="20" t="str">
        <f>Source!DD716</f>
        <v>)*4</v>
      </c>
      <c r="I832" s="9">
        <f>Source!AW716</f>
        <v>1</v>
      </c>
      <c r="J832" s="9">
        <f>IF(Source!BC716&lt;&gt; 0, Source!BC716, 1)</f>
        <v>1</v>
      </c>
      <c r="K832" s="21">
        <f>Source!P716</f>
        <v>0.75</v>
      </c>
      <c r="L832" s="21"/>
    </row>
    <row r="833" spans="1:22" ht="14.25" x14ac:dyDescent="0.2">
      <c r="A833" s="18"/>
      <c r="B833" s="18"/>
      <c r="C833" s="18"/>
      <c r="D833" s="18" t="s">
        <v>465</v>
      </c>
      <c r="E833" s="19" t="s">
        <v>466</v>
      </c>
      <c r="F833" s="9">
        <f>Source!AT716</f>
        <v>70</v>
      </c>
      <c r="G833" s="21"/>
      <c r="H833" s="20"/>
      <c r="I833" s="9"/>
      <c r="J833" s="9"/>
      <c r="K833" s="21">
        <f>SUM(R827:R832)</f>
        <v>1798.66</v>
      </c>
      <c r="L833" s="21"/>
    </row>
    <row r="834" spans="1:22" ht="14.25" x14ac:dyDescent="0.2">
      <c r="A834" s="18"/>
      <c r="B834" s="18"/>
      <c r="C834" s="18"/>
      <c r="D834" s="18" t="s">
        <v>467</v>
      </c>
      <c r="E834" s="19" t="s">
        <v>466</v>
      </c>
      <c r="F834" s="9">
        <f>Source!AU716</f>
        <v>10</v>
      </c>
      <c r="G834" s="21"/>
      <c r="H834" s="20"/>
      <c r="I834" s="9"/>
      <c r="J834" s="9"/>
      <c r="K834" s="21">
        <f>SUM(T827:T833)</f>
        <v>256.95</v>
      </c>
      <c r="L834" s="21"/>
    </row>
    <row r="835" spans="1:22" ht="14.25" x14ac:dyDescent="0.2">
      <c r="A835" s="18"/>
      <c r="B835" s="18"/>
      <c r="C835" s="18"/>
      <c r="D835" s="18" t="s">
        <v>468</v>
      </c>
      <c r="E835" s="19" t="s">
        <v>466</v>
      </c>
      <c r="F835" s="9">
        <f>108</f>
        <v>108</v>
      </c>
      <c r="G835" s="21"/>
      <c r="H835" s="20"/>
      <c r="I835" s="9"/>
      <c r="J835" s="9"/>
      <c r="K835" s="21">
        <f>SUM(V827:V834)</f>
        <v>499.68</v>
      </c>
      <c r="L835" s="21"/>
    </row>
    <row r="836" spans="1:22" ht="14.25" x14ac:dyDescent="0.2">
      <c r="A836" s="18"/>
      <c r="B836" s="18"/>
      <c r="C836" s="18"/>
      <c r="D836" s="18" t="s">
        <v>469</v>
      </c>
      <c r="E836" s="19" t="s">
        <v>470</v>
      </c>
      <c r="F836" s="9">
        <f>Source!AQ716</f>
        <v>6</v>
      </c>
      <c r="G836" s="21"/>
      <c r="H836" s="20" t="str">
        <f>Source!DI716</f>
        <v>)*4</v>
      </c>
      <c r="I836" s="9">
        <f>Source!AV716</f>
        <v>1</v>
      </c>
      <c r="J836" s="9"/>
      <c r="K836" s="21"/>
      <c r="L836" s="21">
        <f>Source!U716</f>
        <v>4.8000000000000007</v>
      </c>
    </row>
    <row r="837" spans="1:22" ht="15" x14ac:dyDescent="0.25">
      <c r="A837" s="26"/>
      <c r="B837" s="26"/>
      <c r="C837" s="26"/>
      <c r="D837" s="26"/>
      <c r="E837" s="26"/>
      <c r="F837" s="26"/>
      <c r="G837" s="26"/>
      <c r="H837" s="26"/>
      <c r="I837" s="26"/>
      <c r="J837" s="53">
        <f>K829+K830+K832+K833+K834+K835</f>
        <v>5855.2400000000007</v>
      </c>
      <c r="K837" s="53"/>
      <c r="L837" s="27">
        <f>IF(Source!I716&lt;&gt;0, ROUND(J837/Source!I716, 2), 0)</f>
        <v>29276.2</v>
      </c>
      <c r="P837" s="24">
        <f>J837</f>
        <v>5855.2400000000007</v>
      </c>
    </row>
    <row r="838" spans="1:22" ht="71.25" x14ac:dyDescent="0.2">
      <c r="A838" s="18">
        <v>84</v>
      </c>
      <c r="B838" s="18">
        <v>84</v>
      </c>
      <c r="C838" s="18" t="str">
        <f>Source!F718</f>
        <v>1.21-2303-37-1/1</v>
      </c>
      <c r="D838" s="18" t="str">
        <f>Source!G718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838" s="19" t="str">
        <f>Source!H718</f>
        <v>10 шт.</v>
      </c>
      <c r="F838" s="9">
        <f>Source!I718</f>
        <v>7</v>
      </c>
      <c r="G838" s="21"/>
      <c r="H838" s="20"/>
      <c r="I838" s="9"/>
      <c r="J838" s="9"/>
      <c r="K838" s="21"/>
      <c r="L838" s="21"/>
      <c r="Q838">
        <f>ROUND((Source!BZ718/100)*ROUND((Source!AF718*Source!AV718)*Source!I718, 2), 2)</f>
        <v>544.64</v>
      </c>
      <c r="R838">
        <f>Source!X718</f>
        <v>544.64</v>
      </c>
      <c r="S838">
        <f>ROUND((Source!CA718/100)*ROUND((Source!AF718*Source!AV718)*Source!I718, 2), 2)</f>
        <v>77.81</v>
      </c>
      <c r="T838">
        <f>Source!Y718</f>
        <v>77.81</v>
      </c>
      <c r="U838">
        <f>ROUND((175/100)*ROUND((Source!AE718*Source!AV718)*Source!I718, 2), 2)</f>
        <v>0</v>
      </c>
      <c r="V838">
        <f>ROUND((108/100)*ROUND(Source!CS718*Source!I718, 2), 2)</f>
        <v>0</v>
      </c>
    </row>
    <row r="839" spans="1:22" x14ac:dyDescent="0.2">
      <c r="D839" s="22" t="str">
        <f>"Объем: "&amp;Source!I718&amp;"=(14*"&amp;"5)/"&amp;"10"</f>
        <v>Объем: 7=(14*5)/10</v>
      </c>
    </row>
    <row r="840" spans="1:22" ht="14.25" x14ac:dyDescent="0.2">
      <c r="A840" s="18"/>
      <c r="B840" s="18"/>
      <c r="C840" s="18"/>
      <c r="D840" s="18" t="s">
        <v>461</v>
      </c>
      <c r="E840" s="19"/>
      <c r="F840" s="9"/>
      <c r="G840" s="21">
        <f>Source!AO718</f>
        <v>111.15</v>
      </c>
      <c r="H840" s="20" t="str">
        <f>Source!DG718</f>
        <v/>
      </c>
      <c r="I840" s="9">
        <f>Source!AV718</f>
        <v>1</v>
      </c>
      <c r="J840" s="9">
        <f>IF(Source!BA718&lt;&gt; 0, Source!BA718, 1)</f>
        <v>1</v>
      </c>
      <c r="K840" s="21">
        <f>Source!S718</f>
        <v>778.05</v>
      </c>
      <c r="L840" s="21"/>
    </row>
    <row r="841" spans="1:22" ht="14.25" x14ac:dyDescent="0.2">
      <c r="A841" s="18"/>
      <c r="B841" s="18"/>
      <c r="C841" s="18"/>
      <c r="D841" s="18" t="s">
        <v>464</v>
      </c>
      <c r="E841" s="19"/>
      <c r="F841" s="9"/>
      <c r="G841" s="21">
        <f>Source!AL718</f>
        <v>6.3</v>
      </c>
      <c r="H841" s="20" t="str">
        <f>Source!DD718</f>
        <v/>
      </c>
      <c r="I841" s="9">
        <f>Source!AW718</f>
        <v>1</v>
      </c>
      <c r="J841" s="9">
        <f>IF(Source!BC718&lt;&gt; 0, Source!BC718, 1)</f>
        <v>1</v>
      </c>
      <c r="K841" s="21">
        <f>Source!P718</f>
        <v>44.1</v>
      </c>
      <c r="L841" s="21"/>
    </row>
    <row r="842" spans="1:22" ht="14.25" x14ac:dyDescent="0.2">
      <c r="A842" s="18"/>
      <c r="B842" s="18"/>
      <c r="C842" s="18"/>
      <c r="D842" s="18" t="s">
        <v>465</v>
      </c>
      <c r="E842" s="19" t="s">
        <v>466</v>
      </c>
      <c r="F842" s="9">
        <f>Source!AT718</f>
        <v>70</v>
      </c>
      <c r="G842" s="21"/>
      <c r="H842" s="20"/>
      <c r="I842" s="9"/>
      <c r="J842" s="9"/>
      <c r="K842" s="21">
        <f>SUM(R838:R841)</f>
        <v>544.64</v>
      </c>
      <c r="L842" s="21"/>
    </row>
    <row r="843" spans="1:22" ht="14.25" x14ac:dyDescent="0.2">
      <c r="A843" s="18"/>
      <c r="B843" s="18"/>
      <c r="C843" s="18"/>
      <c r="D843" s="18" t="s">
        <v>467</v>
      </c>
      <c r="E843" s="19" t="s">
        <v>466</v>
      </c>
      <c r="F843" s="9">
        <f>Source!AU718</f>
        <v>10</v>
      </c>
      <c r="G843" s="21"/>
      <c r="H843" s="20"/>
      <c r="I843" s="9"/>
      <c r="J843" s="9"/>
      <c r="K843" s="21">
        <f>SUM(T838:T842)</f>
        <v>77.81</v>
      </c>
      <c r="L843" s="21"/>
    </row>
    <row r="844" spans="1:22" ht="14.25" x14ac:dyDescent="0.2">
      <c r="A844" s="18"/>
      <c r="B844" s="18"/>
      <c r="C844" s="18"/>
      <c r="D844" s="18" t="s">
        <v>469</v>
      </c>
      <c r="E844" s="19" t="s">
        <v>470</v>
      </c>
      <c r="F844" s="9">
        <f>Source!AQ718</f>
        <v>0.18</v>
      </c>
      <c r="G844" s="21"/>
      <c r="H844" s="20" t="str">
        <f>Source!DI718</f>
        <v/>
      </c>
      <c r="I844" s="9">
        <f>Source!AV718</f>
        <v>1</v>
      </c>
      <c r="J844" s="9"/>
      <c r="K844" s="21"/>
      <c r="L844" s="21">
        <f>Source!U718</f>
        <v>1.26</v>
      </c>
    </row>
    <row r="845" spans="1:22" ht="15" x14ac:dyDescent="0.25">
      <c r="A845" s="26"/>
      <c r="B845" s="26"/>
      <c r="C845" s="26"/>
      <c r="D845" s="26"/>
      <c r="E845" s="26"/>
      <c r="F845" s="26"/>
      <c r="G845" s="26"/>
      <c r="H845" s="26"/>
      <c r="I845" s="26"/>
      <c r="J845" s="53">
        <f>K840+K841+K842+K843</f>
        <v>1444.6</v>
      </c>
      <c r="K845" s="53"/>
      <c r="L845" s="27">
        <f>IF(Source!I718&lt;&gt;0, ROUND(J845/Source!I718, 2), 0)</f>
        <v>206.37</v>
      </c>
      <c r="P845" s="24">
        <f>J845</f>
        <v>1444.6</v>
      </c>
    </row>
    <row r="846" spans="1:22" ht="57" x14ac:dyDescent="0.2">
      <c r="A846" s="18">
        <v>85</v>
      </c>
      <c r="B846" s="18">
        <v>85</v>
      </c>
      <c r="C846" s="18" t="str">
        <f>Source!F720</f>
        <v>1.21-2103-9-2/1</v>
      </c>
      <c r="D846" s="18" t="str">
        <f>Source!G720</f>
        <v>Техническое обслуживание силовых сетей, проложенных по кирпичным и бетонным основаниям, провод сечением 3х1,5-6 мм2 / прим. 3х2,5</v>
      </c>
      <c r="E846" s="19" t="str">
        <f>Source!H720</f>
        <v>100 м</v>
      </c>
      <c r="F846" s="9">
        <f>Source!I720</f>
        <v>0.04</v>
      </c>
      <c r="G846" s="21"/>
      <c r="H846" s="20"/>
      <c r="I846" s="9"/>
      <c r="J846" s="9"/>
      <c r="K846" s="21"/>
      <c r="L846" s="21"/>
      <c r="Q846">
        <f>ROUND((Source!BZ720/100)*ROUND((Source!AF720*Source!AV720)*Source!I720, 2), 2)</f>
        <v>149.88999999999999</v>
      </c>
      <c r="R846">
        <f>Source!X720</f>
        <v>149.88999999999999</v>
      </c>
      <c r="S846">
        <f>ROUND((Source!CA720/100)*ROUND((Source!AF720*Source!AV720)*Source!I720, 2), 2)</f>
        <v>21.41</v>
      </c>
      <c r="T846">
        <f>Source!Y720</f>
        <v>21.41</v>
      </c>
      <c r="U846">
        <f>ROUND((175/100)*ROUND((Source!AE720*Source!AV720)*Source!I720, 2), 2)</f>
        <v>0</v>
      </c>
      <c r="V846">
        <f>ROUND((108/100)*ROUND(Source!CS720*Source!I720, 2), 2)</f>
        <v>0</v>
      </c>
    </row>
    <row r="847" spans="1:22" x14ac:dyDescent="0.2">
      <c r="D847" s="22" t="str">
        <f>"Объем: "&amp;Source!I720&amp;"=(40*"&amp;"5)*"&amp;"0,2*"&amp;"0,1/"&amp;"100"</f>
        <v>Объем: 0,04=(40*5)*0,2*0,1/100</v>
      </c>
    </row>
    <row r="848" spans="1:22" ht="14.25" x14ac:dyDescent="0.2">
      <c r="A848" s="18"/>
      <c r="B848" s="18"/>
      <c r="C848" s="18"/>
      <c r="D848" s="18" t="s">
        <v>461</v>
      </c>
      <c r="E848" s="19"/>
      <c r="F848" s="9"/>
      <c r="G848" s="21">
        <f>Source!AO720</f>
        <v>5353.15</v>
      </c>
      <c r="H848" s="20" t="str">
        <f>Source!DG720</f>
        <v/>
      </c>
      <c r="I848" s="9">
        <f>Source!AV720</f>
        <v>1</v>
      </c>
      <c r="J848" s="9">
        <f>IF(Source!BA720&lt;&gt; 0, Source!BA720, 1)</f>
        <v>1</v>
      </c>
      <c r="K848" s="21">
        <f>Source!S720</f>
        <v>214.13</v>
      </c>
      <c r="L848" s="21"/>
    </row>
    <row r="849" spans="1:22" ht="14.25" x14ac:dyDescent="0.2">
      <c r="A849" s="18"/>
      <c r="B849" s="18"/>
      <c r="C849" s="18"/>
      <c r="D849" s="18" t="s">
        <v>464</v>
      </c>
      <c r="E849" s="19"/>
      <c r="F849" s="9"/>
      <c r="G849" s="21">
        <f>Source!AL720</f>
        <v>22.51</v>
      </c>
      <c r="H849" s="20" t="str">
        <f>Source!DD720</f>
        <v/>
      </c>
      <c r="I849" s="9">
        <f>Source!AW720</f>
        <v>1</v>
      </c>
      <c r="J849" s="9">
        <f>IF(Source!BC720&lt;&gt; 0, Source!BC720, 1)</f>
        <v>1</v>
      </c>
      <c r="K849" s="21">
        <f>Source!P720</f>
        <v>0.9</v>
      </c>
      <c r="L849" s="21"/>
    </row>
    <row r="850" spans="1:22" ht="14.25" x14ac:dyDescent="0.2">
      <c r="A850" s="18"/>
      <c r="B850" s="18"/>
      <c r="C850" s="18"/>
      <c r="D850" s="18" t="s">
        <v>465</v>
      </c>
      <c r="E850" s="19" t="s">
        <v>466</v>
      </c>
      <c r="F850" s="9">
        <f>Source!AT720</f>
        <v>70</v>
      </c>
      <c r="G850" s="21"/>
      <c r="H850" s="20"/>
      <c r="I850" s="9"/>
      <c r="J850" s="9"/>
      <c r="K850" s="21">
        <f>SUM(R846:R849)</f>
        <v>149.88999999999999</v>
      </c>
      <c r="L850" s="21"/>
    </row>
    <row r="851" spans="1:22" ht="14.25" x14ac:dyDescent="0.2">
      <c r="A851" s="18"/>
      <c r="B851" s="18"/>
      <c r="C851" s="18"/>
      <c r="D851" s="18" t="s">
        <v>467</v>
      </c>
      <c r="E851" s="19" t="s">
        <v>466</v>
      </c>
      <c r="F851" s="9">
        <f>Source!AU720</f>
        <v>10</v>
      </c>
      <c r="G851" s="21"/>
      <c r="H851" s="20"/>
      <c r="I851" s="9"/>
      <c r="J851" s="9"/>
      <c r="K851" s="21">
        <f>SUM(T846:T850)</f>
        <v>21.41</v>
      </c>
      <c r="L851" s="21"/>
    </row>
    <row r="852" spans="1:22" ht="14.25" x14ac:dyDescent="0.2">
      <c r="A852" s="18"/>
      <c r="B852" s="18"/>
      <c r="C852" s="18"/>
      <c r="D852" s="18" t="s">
        <v>469</v>
      </c>
      <c r="E852" s="19" t="s">
        <v>470</v>
      </c>
      <c r="F852" s="9">
        <f>Source!AQ720</f>
        <v>10</v>
      </c>
      <c r="G852" s="21"/>
      <c r="H852" s="20" t="str">
        <f>Source!DI720</f>
        <v/>
      </c>
      <c r="I852" s="9">
        <f>Source!AV720</f>
        <v>1</v>
      </c>
      <c r="J852" s="9"/>
      <c r="K852" s="21"/>
      <c r="L852" s="21">
        <f>Source!U720</f>
        <v>0.4</v>
      </c>
    </row>
    <row r="853" spans="1:22" ht="15" x14ac:dyDescent="0.25">
      <c r="A853" s="26"/>
      <c r="B853" s="26"/>
      <c r="C853" s="26"/>
      <c r="D853" s="26"/>
      <c r="E853" s="26"/>
      <c r="F853" s="26"/>
      <c r="G853" s="26"/>
      <c r="H853" s="26"/>
      <c r="I853" s="26"/>
      <c r="J853" s="53">
        <f>K848+K849+K850+K851</f>
        <v>386.33</v>
      </c>
      <c r="K853" s="53"/>
      <c r="L853" s="27">
        <f>IF(Source!I720&lt;&gt;0, ROUND(J853/Source!I720, 2), 0)</f>
        <v>9658.25</v>
      </c>
      <c r="P853" s="24">
        <f>J853</f>
        <v>386.33</v>
      </c>
    </row>
    <row r="854" spans="1:22" ht="57" x14ac:dyDescent="0.2">
      <c r="A854" s="18">
        <v>86</v>
      </c>
      <c r="B854" s="18">
        <v>86</v>
      </c>
      <c r="C854" s="18" t="str">
        <f>Source!F722</f>
        <v>1.21-2103-9-2/1</v>
      </c>
      <c r="D854" s="18" t="str">
        <f>Source!G722</f>
        <v>Техническое обслуживание силовых сетей, проложенных по кирпичным и бетонным основаниям, провод сечением 3х1,5-6 мм2</v>
      </c>
      <c r="E854" s="19" t="str">
        <f>Source!H722</f>
        <v>100 м</v>
      </c>
      <c r="F854" s="9">
        <f>Source!I722</f>
        <v>0.05</v>
      </c>
      <c r="G854" s="21"/>
      <c r="H854" s="20"/>
      <c r="I854" s="9"/>
      <c r="J854" s="9"/>
      <c r="K854" s="21"/>
      <c r="L854" s="21"/>
      <c r="Q854">
        <f>ROUND((Source!BZ722/100)*ROUND((Source!AF722*Source!AV722)*Source!I722, 2), 2)</f>
        <v>187.36</v>
      </c>
      <c r="R854">
        <f>Source!X722</f>
        <v>187.36</v>
      </c>
      <c r="S854">
        <f>ROUND((Source!CA722/100)*ROUND((Source!AF722*Source!AV722)*Source!I722, 2), 2)</f>
        <v>26.77</v>
      </c>
      <c r="T854">
        <f>Source!Y722</f>
        <v>26.77</v>
      </c>
      <c r="U854">
        <f>ROUND((175/100)*ROUND((Source!AE722*Source!AV722)*Source!I722, 2), 2)</f>
        <v>0</v>
      </c>
      <c r="V854">
        <f>ROUND((108/100)*ROUND(Source!CS722*Source!I722, 2), 2)</f>
        <v>0</v>
      </c>
    </row>
    <row r="855" spans="1:22" x14ac:dyDescent="0.2">
      <c r="D855" s="22" t="str">
        <f>"Объем: "&amp;Source!I722&amp;"=(50*"&amp;"5)*"&amp;"0,2*"&amp;"0,1/"&amp;"100"</f>
        <v>Объем: 0,05=(50*5)*0,2*0,1/100</v>
      </c>
    </row>
    <row r="856" spans="1:22" ht="14.25" x14ac:dyDescent="0.2">
      <c r="A856" s="18"/>
      <c r="B856" s="18"/>
      <c r="C856" s="18"/>
      <c r="D856" s="18" t="s">
        <v>461</v>
      </c>
      <c r="E856" s="19"/>
      <c r="F856" s="9"/>
      <c r="G856" s="21">
        <f>Source!AO722</f>
        <v>5353.15</v>
      </c>
      <c r="H856" s="20" t="str">
        <f>Source!DG722</f>
        <v/>
      </c>
      <c r="I856" s="9">
        <f>Source!AV722</f>
        <v>1</v>
      </c>
      <c r="J856" s="9">
        <f>IF(Source!BA722&lt;&gt; 0, Source!BA722, 1)</f>
        <v>1</v>
      </c>
      <c r="K856" s="21">
        <f>Source!S722</f>
        <v>267.66000000000003</v>
      </c>
      <c r="L856" s="21"/>
    </row>
    <row r="857" spans="1:22" ht="14.25" x14ac:dyDescent="0.2">
      <c r="A857" s="18"/>
      <c r="B857" s="18"/>
      <c r="C857" s="18"/>
      <c r="D857" s="18" t="s">
        <v>464</v>
      </c>
      <c r="E857" s="19"/>
      <c r="F857" s="9"/>
      <c r="G857" s="21">
        <f>Source!AL722</f>
        <v>22.51</v>
      </c>
      <c r="H857" s="20" t="str">
        <f>Source!DD722</f>
        <v/>
      </c>
      <c r="I857" s="9">
        <f>Source!AW722</f>
        <v>1</v>
      </c>
      <c r="J857" s="9">
        <f>IF(Source!BC722&lt;&gt; 0, Source!BC722, 1)</f>
        <v>1</v>
      </c>
      <c r="K857" s="21">
        <f>Source!P722</f>
        <v>1.1299999999999999</v>
      </c>
      <c r="L857" s="21"/>
    </row>
    <row r="858" spans="1:22" ht="14.25" x14ac:dyDescent="0.2">
      <c r="A858" s="18"/>
      <c r="B858" s="18"/>
      <c r="C858" s="18"/>
      <c r="D858" s="18" t="s">
        <v>465</v>
      </c>
      <c r="E858" s="19" t="s">
        <v>466</v>
      </c>
      <c r="F858" s="9">
        <f>Source!AT722</f>
        <v>70</v>
      </c>
      <c r="G858" s="21"/>
      <c r="H858" s="20"/>
      <c r="I858" s="9"/>
      <c r="J858" s="9"/>
      <c r="K858" s="21">
        <f>SUM(R854:R857)</f>
        <v>187.36</v>
      </c>
      <c r="L858" s="21"/>
    </row>
    <row r="859" spans="1:22" ht="14.25" x14ac:dyDescent="0.2">
      <c r="A859" s="18"/>
      <c r="B859" s="18"/>
      <c r="C859" s="18"/>
      <c r="D859" s="18" t="s">
        <v>467</v>
      </c>
      <c r="E859" s="19" t="s">
        <v>466</v>
      </c>
      <c r="F859" s="9">
        <f>Source!AU722</f>
        <v>10</v>
      </c>
      <c r="G859" s="21"/>
      <c r="H859" s="20"/>
      <c r="I859" s="9"/>
      <c r="J859" s="9"/>
      <c r="K859" s="21">
        <f>SUM(T854:T858)</f>
        <v>26.77</v>
      </c>
      <c r="L859" s="21"/>
    </row>
    <row r="860" spans="1:22" ht="14.25" x14ac:dyDescent="0.2">
      <c r="A860" s="18"/>
      <c r="B860" s="18"/>
      <c r="C860" s="18"/>
      <c r="D860" s="18" t="s">
        <v>469</v>
      </c>
      <c r="E860" s="19" t="s">
        <v>470</v>
      </c>
      <c r="F860" s="9">
        <f>Source!AQ722</f>
        <v>10</v>
      </c>
      <c r="G860" s="21"/>
      <c r="H860" s="20" t="str">
        <f>Source!DI722</f>
        <v/>
      </c>
      <c r="I860" s="9">
        <f>Source!AV722</f>
        <v>1</v>
      </c>
      <c r="J860" s="9"/>
      <c r="K860" s="21"/>
      <c r="L860" s="21">
        <f>Source!U722</f>
        <v>0.5</v>
      </c>
    </row>
    <row r="861" spans="1:22" ht="15" x14ac:dyDescent="0.25">
      <c r="A861" s="26"/>
      <c r="B861" s="26"/>
      <c r="C861" s="26"/>
      <c r="D861" s="26"/>
      <c r="E861" s="26"/>
      <c r="F861" s="26"/>
      <c r="G861" s="26"/>
      <c r="H861" s="26"/>
      <c r="I861" s="26"/>
      <c r="J861" s="53">
        <f>K856+K857+K858+K859</f>
        <v>482.92</v>
      </c>
      <c r="K861" s="53"/>
      <c r="L861" s="27">
        <f>IF(Source!I722&lt;&gt;0, ROUND(J861/Source!I722, 2), 0)</f>
        <v>9658.4</v>
      </c>
      <c r="P861" s="24">
        <f>J861</f>
        <v>482.92</v>
      </c>
    </row>
    <row r="862" spans="1:22" ht="71.25" x14ac:dyDescent="0.2">
      <c r="A862" s="18">
        <v>87</v>
      </c>
      <c r="B862" s="18">
        <v>87</v>
      </c>
      <c r="C862" s="18" t="str">
        <f>Source!F724</f>
        <v>1.21-2103-9-2/1</v>
      </c>
      <c r="D862" s="18" t="str">
        <f>Source!G724</f>
        <v>Техническое обслуживание силовых сетей, проложенных по кирпичным и бетонным основаниям, провод сечением 3х1,5-6 мм2 / кабель греющий</v>
      </c>
      <c r="E862" s="19" t="str">
        <f>Source!H724</f>
        <v>100 м</v>
      </c>
      <c r="F862" s="9">
        <f>Source!I724</f>
        <v>0.01</v>
      </c>
      <c r="G862" s="21"/>
      <c r="H862" s="20"/>
      <c r="I862" s="9"/>
      <c r="J862" s="9"/>
      <c r="K862" s="21"/>
      <c r="L862" s="21"/>
      <c r="Q862">
        <f>ROUND((Source!BZ724/100)*ROUND((Source!AF724*Source!AV724)*Source!I724, 2), 2)</f>
        <v>37.47</v>
      </c>
      <c r="R862">
        <f>Source!X724</f>
        <v>37.47</v>
      </c>
      <c r="S862">
        <f>ROUND((Source!CA724/100)*ROUND((Source!AF724*Source!AV724)*Source!I724, 2), 2)</f>
        <v>5.35</v>
      </c>
      <c r="T862">
        <f>Source!Y724</f>
        <v>5.35</v>
      </c>
      <c r="U862">
        <f>ROUND((175/100)*ROUND((Source!AE724*Source!AV724)*Source!I724, 2), 2)</f>
        <v>0</v>
      </c>
      <c r="V862">
        <f>ROUND((108/100)*ROUND(Source!CS724*Source!I724, 2), 2)</f>
        <v>0</v>
      </c>
    </row>
    <row r="863" spans="1:22" x14ac:dyDescent="0.2">
      <c r="D863" s="22" t="str">
        <f>"Объем: "&amp;Source!I724&amp;"=10*"&amp;"5*"&amp;"0,2*"&amp;"0,1/"&amp;"100"</f>
        <v>Объем: 0,01=10*5*0,2*0,1/100</v>
      </c>
    </row>
    <row r="864" spans="1:22" ht="14.25" x14ac:dyDescent="0.2">
      <c r="A864" s="18"/>
      <c r="B864" s="18"/>
      <c r="C864" s="18"/>
      <c r="D864" s="18" t="s">
        <v>461</v>
      </c>
      <c r="E864" s="19"/>
      <c r="F864" s="9"/>
      <c r="G864" s="21">
        <f>Source!AO724</f>
        <v>5353.15</v>
      </c>
      <c r="H864" s="20" t="str">
        <f>Source!DG724</f>
        <v/>
      </c>
      <c r="I864" s="9">
        <f>Source!AV724</f>
        <v>1</v>
      </c>
      <c r="J864" s="9">
        <f>IF(Source!BA724&lt;&gt; 0, Source!BA724, 1)</f>
        <v>1</v>
      </c>
      <c r="K864" s="21">
        <f>Source!S724</f>
        <v>53.53</v>
      </c>
      <c r="L864" s="21"/>
    </row>
    <row r="865" spans="1:16" ht="14.25" x14ac:dyDescent="0.2">
      <c r="A865" s="18"/>
      <c r="B865" s="18"/>
      <c r="C865" s="18"/>
      <c r="D865" s="18" t="s">
        <v>464</v>
      </c>
      <c r="E865" s="19"/>
      <c r="F865" s="9"/>
      <c r="G865" s="21">
        <f>Source!AL724</f>
        <v>22.51</v>
      </c>
      <c r="H865" s="20" t="str">
        <f>Source!DD724</f>
        <v/>
      </c>
      <c r="I865" s="9">
        <f>Source!AW724</f>
        <v>1</v>
      </c>
      <c r="J865" s="9">
        <f>IF(Source!BC724&lt;&gt; 0, Source!BC724, 1)</f>
        <v>1</v>
      </c>
      <c r="K865" s="21">
        <f>Source!P724</f>
        <v>0.23</v>
      </c>
      <c r="L865" s="21"/>
    </row>
    <row r="866" spans="1:16" ht="14.25" x14ac:dyDescent="0.2">
      <c r="A866" s="18"/>
      <c r="B866" s="18"/>
      <c r="C866" s="18"/>
      <c r="D866" s="18" t="s">
        <v>465</v>
      </c>
      <c r="E866" s="19" t="s">
        <v>466</v>
      </c>
      <c r="F866" s="9">
        <f>Source!AT724</f>
        <v>70</v>
      </c>
      <c r="G866" s="21"/>
      <c r="H866" s="20"/>
      <c r="I866" s="9"/>
      <c r="J866" s="9"/>
      <c r="K866" s="21">
        <f>SUM(R862:R865)</f>
        <v>37.47</v>
      </c>
      <c r="L866" s="21"/>
    </row>
    <row r="867" spans="1:16" ht="14.25" x14ac:dyDescent="0.2">
      <c r="A867" s="18"/>
      <c r="B867" s="18"/>
      <c r="C867" s="18"/>
      <c r="D867" s="18" t="s">
        <v>467</v>
      </c>
      <c r="E867" s="19" t="s">
        <v>466</v>
      </c>
      <c r="F867" s="9">
        <f>Source!AU724</f>
        <v>10</v>
      </c>
      <c r="G867" s="21"/>
      <c r="H867" s="20"/>
      <c r="I867" s="9"/>
      <c r="J867" s="9"/>
      <c r="K867" s="21">
        <f>SUM(T862:T866)</f>
        <v>5.35</v>
      </c>
      <c r="L867" s="21"/>
    </row>
    <row r="868" spans="1:16" ht="14.25" x14ac:dyDescent="0.2">
      <c r="A868" s="18"/>
      <c r="B868" s="18"/>
      <c r="C868" s="18"/>
      <c r="D868" s="18" t="s">
        <v>469</v>
      </c>
      <c r="E868" s="19" t="s">
        <v>470</v>
      </c>
      <c r="F868" s="9">
        <f>Source!AQ724</f>
        <v>10</v>
      </c>
      <c r="G868" s="21"/>
      <c r="H868" s="20" t="str">
        <f>Source!DI724</f>
        <v/>
      </c>
      <c r="I868" s="9">
        <f>Source!AV724</f>
        <v>1</v>
      </c>
      <c r="J868" s="9"/>
      <c r="K868" s="21"/>
      <c r="L868" s="21">
        <f>Source!U724</f>
        <v>0.1</v>
      </c>
    </row>
    <row r="869" spans="1:16" ht="15" x14ac:dyDescent="0.25">
      <c r="A869" s="26"/>
      <c r="B869" s="26"/>
      <c r="C869" s="26"/>
      <c r="D869" s="26"/>
      <c r="E869" s="26"/>
      <c r="F869" s="26"/>
      <c r="G869" s="26"/>
      <c r="H869" s="26"/>
      <c r="I869" s="26"/>
      <c r="J869" s="53">
        <f>K864+K865+K866+K867</f>
        <v>96.579999999999984</v>
      </c>
      <c r="K869" s="53"/>
      <c r="L869" s="27">
        <f>IF(Source!I724&lt;&gt;0, ROUND(J869/Source!I724, 2), 0)</f>
        <v>9658</v>
      </c>
      <c r="P869" s="24">
        <f>J869</f>
        <v>96.579999999999984</v>
      </c>
    </row>
    <row r="871" spans="1:16" ht="15" x14ac:dyDescent="0.25">
      <c r="A871" s="57" t="str">
        <f>CONCATENATE("Итого по подразделу: ",IF(Source!G727&lt;&gt;"Новый подраздел", Source!G727, ""))</f>
        <v>Итого по подразделу: Электрооборудование</v>
      </c>
      <c r="B871" s="57"/>
      <c r="C871" s="57"/>
      <c r="D871" s="57"/>
      <c r="E871" s="57"/>
      <c r="F871" s="57"/>
      <c r="G871" s="57"/>
      <c r="H871" s="57"/>
      <c r="I871" s="57"/>
      <c r="J871" s="55">
        <f>SUM(P787:P870)</f>
        <v>173931.10999999996</v>
      </c>
      <c r="K871" s="56"/>
      <c r="L871" s="28"/>
    </row>
    <row r="874" spans="1:16" ht="15" x14ac:dyDescent="0.25">
      <c r="A874" s="57" t="str">
        <f>CONCATENATE("Итого по разделу: ",IF(Source!G757&lt;&gt;"Новый раздел", Source!G757, ""))</f>
        <v>Итого по разделу: Офис-продакшн  5 шт.</v>
      </c>
      <c r="B874" s="57"/>
      <c r="C874" s="57"/>
      <c r="D874" s="57"/>
      <c r="E874" s="57"/>
      <c r="F874" s="57"/>
      <c r="G874" s="57"/>
      <c r="H874" s="57"/>
      <c r="I874" s="57"/>
      <c r="J874" s="55">
        <f>SUM(P673:P873)</f>
        <v>306050.20999999996</v>
      </c>
      <c r="K874" s="56"/>
      <c r="L874" s="28"/>
    </row>
    <row r="877" spans="1:16" ht="15" hidden="1" x14ac:dyDescent="0.25">
      <c r="A877" s="57" t="str">
        <f>CONCATENATE("Итого по локальной смете: ",IF(Source!G787&lt;&gt;"Новая локальная смета", Source!G787, ""))</f>
        <v xml:space="preserve">Итого по локальной смете: </v>
      </c>
      <c r="B877" s="57"/>
      <c r="C877" s="57"/>
      <c r="D877" s="57"/>
      <c r="E877" s="57"/>
      <c r="F877" s="57"/>
      <c r="G877" s="57"/>
      <c r="H877" s="57"/>
      <c r="I877" s="57"/>
      <c r="J877" s="55">
        <f>SUM(P38:P876)</f>
        <v>1750072.9899999991</v>
      </c>
      <c r="K877" s="56"/>
      <c r="L877" s="28"/>
    </row>
    <row r="880" spans="1:16" ht="15" x14ac:dyDescent="0.25">
      <c r="A880" s="57" t="s">
        <v>513</v>
      </c>
      <c r="B880" s="57"/>
      <c r="C880" s="57"/>
      <c r="D880" s="57"/>
      <c r="E880" s="57"/>
      <c r="F880" s="57"/>
      <c r="G880" s="57"/>
      <c r="H880" s="57"/>
      <c r="I880" s="57"/>
      <c r="J880" s="55">
        <f>SUM(P1:P879)</f>
        <v>1750072.9899999991</v>
      </c>
      <c r="K880" s="56"/>
      <c r="L880" s="28"/>
    </row>
  </sheetData>
  <mergeCells count="184">
    <mergeCell ref="J874:K874"/>
    <mergeCell ref="A874:I874"/>
    <mergeCell ref="J877:K877"/>
    <mergeCell ref="A877:I877"/>
    <mergeCell ref="J880:K880"/>
    <mergeCell ref="A880:I880"/>
    <mergeCell ref="J845:K845"/>
    <mergeCell ref="J853:K853"/>
    <mergeCell ref="J861:K861"/>
    <mergeCell ref="J869:K869"/>
    <mergeCell ref="J871:K871"/>
    <mergeCell ref="A871:I871"/>
    <mergeCell ref="J794:K794"/>
    <mergeCell ref="J803:K803"/>
    <mergeCell ref="J811:K811"/>
    <mergeCell ref="J819:K819"/>
    <mergeCell ref="J826:K826"/>
    <mergeCell ref="J837:K837"/>
    <mergeCell ref="A762:L762"/>
    <mergeCell ref="J772:K772"/>
    <mergeCell ref="J782:K782"/>
    <mergeCell ref="J784:K784"/>
    <mergeCell ref="A784:I784"/>
    <mergeCell ref="A787:L787"/>
    <mergeCell ref="J733:K733"/>
    <mergeCell ref="J741:K741"/>
    <mergeCell ref="J748:K748"/>
    <mergeCell ref="J757:K757"/>
    <mergeCell ref="J759:K759"/>
    <mergeCell ref="A759:I759"/>
    <mergeCell ref="A675:L675"/>
    <mergeCell ref="J685:K685"/>
    <mergeCell ref="J695:K695"/>
    <mergeCell ref="J706:K706"/>
    <mergeCell ref="J717:K717"/>
    <mergeCell ref="J726:K726"/>
    <mergeCell ref="J665:K665"/>
    <mergeCell ref="J667:K667"/>
    <mergeCell ref="A667:I667"/>
    <mergeCell ref="J670:K670"/>
    <mergeCell ref="A670:I670"/>
    <mergeCell ref="A673:L673"/>
    <mergeCell ref="J615:K615"/>
    <mergeCell ref="J623:K623"/>
    <mergeCell ref="J630:K630"/>
    <mergeCell ref="J641:K641"/>
    <mergeCell ref="J649:K649"/>
    <mergeCell ref="J657:K657"/>
    <mergeCell ref="J580:K580"/>
    <mergeCell ref="A580:I580"/>
    <mergeCell ref="A583:L583"/>
    <mergeCell ref="J590:K590"/>
    <mergeCell ref="J599:K599"/>
    <mergeCell ref="J607:K607"/>
    <mergeCell ref="A532:L532"/>
    <mergeCell ref="J543:K543"/>
    <mergeCell ref="J554:K554"/>
    <mergeCell ref="J561:K561"/>
    <mergeCell ref="J571:K571"/>
    <mergeCell ref="J578:K578"/>
    <mergeCell ref="J505:K505"/>
    <mergeCell ref="J512:K512"/>
    <mergeCell ref="J520:K520"/>
    <mergeCell ref="J527:K527"/>
    <mergeCell ref="J529:K529"/>
    <mergeCell ref="A529:I529"/>
    <mergeCell ref="J468:K468"/>
    <mergeCell ref="A468:I468"/>
    <mergeCell ref="A471:L471"/>
    <mergeCell ref="A473:L473"/>
    <mergeCell ref="J484:K484"/>
    <mergeCell ref="J495:K495"/>
    <mergeCell ref="J439:K439"/>
    <mergeCell ref="J447:K447"/>
    <mergeCell ref="J455:K455"/>
    <mergeCell ref="J463:K463"/>
    <mergeCell ref="J465:K465"/>
    <mergeCell ref="A465:I465"/>
    <mergeCell ref="J386:K386"/>
    <mergeCell ref="J397:K397"/>
    <mergeCell ref="J405:K405"/>
    <mergeCell ref="J413:K413"/>
    <mergeCell ref="J421:K421"/>
    <mergeCell ref="J428:K428"/>
    <mergeCell ref="J354:K354"/>
    <mergeCell ref="J356:K356"/>
    <mergeCell ref="A356:I356"/>
    <mergeCell ref="A359:L359"/>
    <mergeCell ref="J366:K366"/>
    <mergeCell ref="J375:K375"/>
    <mergeCell ref="J312:K312"/>
    <mergeCell ref="A312:I312"/>
    <mergeCell ref="A315:L315"/>
    <mergeCell ref="J326:K326"/>
    <mergeCell ref="J337:K337"/>
    <mergeCell ref="J344:K344"/>
    <mergeCell ref="J267:K267"/>
    <mergeCell ref="J278:K278"/>
    <mergeCell ref="J288:K288"/>
    <mergeCell ref="J295:K295"/>
    <mergeCell ref="J303:K303"/>
    <mergeCell ref="J310:K310"/>
    <mergeCell ref="J248:K248"/>
    <mergeCell ref="A248:I248"/>
    <mergeCell ref="J251:K251"/>
    <mergeCell ref="A251:I251"/>
    <mergeCell ref="A254:L254"/>
    <mergeCell ref="A256:L256"/>
    <mergeCell ref="J204:K204"/>
    <mergeCell ref="J211:K211"/>
    <mergeCell ref="J222:K222"/>
    <mergeCell ref="J230:K230"/>
    <mergeCell ref="J238:K238"/>
    <mergeCell ref="J246:K246"/>
    <mergeCell ref="J157:K157"/>
    <mergeCell ref="J166:K166"/>
    <mergeCell ref="J174:K174"/>
    <mergeCell ref="J181:K181"/>
    <mergeCell ref="J189:K189"/>
    <mergeCell ref="J197:K197"/>
    <mergeCell ref="J128:K128"/>
    <mergeCell ref="J138:K138"/>
    <mergeCell ref="J145:K145"/>
    <mergeCell ref="J147:K147"/>
    <mergeCell ref="A147:I147"/>
    <mergeCell ref="A150:L150"/>
    <mergeCell ref="J96:K96"/>
    <mergeCell ref="J106:K106"/>
    <mergeCell ref="J113:K113"/>
    <mergeCell ref="J115:K115"/>
    <mergeCell ref="A115:I115"/>
    <mergeCell ref="A118:L118"/>
    <mergeCell ref="A42:L42"/>
    <mergeCell ref="J53:K53"/>
    <mergeCell ref="J64:K64"/>
    <mergeCell ref="J74:K74"/>
    <mergeCell ref="J81:K81"/>
    <mergeCell ref="J89:K89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58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860"/>
  <sheetViews>
    <sheetView topLeftCell="A800" workbookViewId="0">
      <selection activeCell="F847" sqref="F84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856</v>
      </c>
      <c r="C12" s="1">
        <v>0</v>
      </c>
      <c r="D12" s="1">
        <f>ROW(A817)</f>
        <v>817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B817</f>
        <v>856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Офис продакшн и туалетные модули_на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O817</f>
        <v>1044491.17</v>
      </c>
      <c r="P18" s="2">
        <f t="shared" si="1"/>
        <v>154661.26</v>
      </c>
      <c r="Q18" s="2">
        <f t="shared" si="1"/>
        <v>50114.39</v>
      </c>
      <c r="R18" s="2">
        <f t="shared" si="1"/>
        <v>31304.959999999999</v>
      </c>
      <c r="S18" s="2">
        <f t="shared" si="1"/>
        <v>839715.52</v>
      </c>
      <c r="T18" s="2">
        <f t="shared" si="1"/>
        <v>0</v>
      </c>
      <c r="U18" s="2">
        <f t="shared" si="1"/>
        <v>1393.3289999999997</v>
      </c>
      <c r="V18" s="2">
        <f t="shared" si="1"/>
        <v>0</v>
      </c>
      <c r="W18" s="2">
        <f t="shared" si="1"/>
        <v>0</v>
      </c>
      <c r="X18" s="2">
        <f t="shared" si="1"/>
        <v>587800.9</v>
      </c>
      <c r="Y18" s="2">
        <f t="shared" si="1"/>
        <v>83971.6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1750072.99</v>
      </c>
      <c r="AS18" s="2">
        <f t="shared" si="1"/>
        <v>0</v>
      </c>
      <c r="AT18" s="2">
        <f t="shared" si="1"/>
        <v>0</v>
      </c>
      <c r="AU18" s="2">
        <f t="shared" ref="AU18:BZ18" si="2">AU817</f>
        <v>1750072.99</v>
      </c>
      <c r="AV18" s="2">
        <f t="shared" si="2"/>
        <v>154661.26</v>
      </c>
      <c r="AW18" s="2">
        <f t="shared" si="2"/>
        <v>154661.26</v>
      </c>
      <c r="AX18" s="2">
        <f t="shared" si="2"/>
        <v>0</v>
      </c>
      <c r="AY18" s="2">
        <f t="shared" si="2"/>
        <v>154661.26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CA817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DG817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EM817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FS817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ROW(A787)</f>
        <v>787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B787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O787</f>
        <v>1044491.17</v>
      </c>
      <c r="P22" s="2">
        <f t="shared" si="8"/>
        <v>154661.26</v>
      </c>
      <c r="Q22" s="2">
        <f t="shared" si="8"/>
        <v>50114.39</v>
      </c>
      <c r="R22" s="2">
        <f t="shared" si="8"/>
        <v>31304.959999999999</v>
      </c>
      <c r="S22" s="2">
        <f t="shared" si="8"/>
        <v>839715.52</v>
      </c>
      <c r="T22" s="2">
        <f t="shared" si="8"/>
        <v>0</v>
      </c>
      <c r="U22" s="2">
        <f t="shared" si="8"/>
        <v>1393.3289999999997</v>
      </c>
      <c r="V22" s="2">
        <f t="shared" si="8"/>
        <v>0</v>
      </c>
      <c r="W22" s="2">
        <f t="shared" si="8"/>
        <v>0</v>
      </c>
      <c r="X22" s="2">
        <f t="shared" si="8"/>
        <v>587800.9</v>
      </c>
      <c r="Y22" s="2">
        <f t="shared" si="8"/>
        <v>83971.6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1750072.99</v>
      </c>
      <c r="AS22" s="2">
        <f t="shared" si="8"/>
        <v>0</v>
      </c>
      <c r="AT22" s="2">
        <f t="shared" si="8"/>
        <v>0</v>
      </c>
      <c r="AU22" s="2">
        <f t="shared" ref="AU22:BZ22" si="9">AU787</f>
        <v>1750072.99</v>
      </c>
      <c r="AV22" s="2">
        <f t="shared" si="9"/>
        <v>154661.26</v>
      </c>
      <c r="AW22" s="2">
        <f t="shared" si="9"/>
        <v>154661.26</v>
      </c>
      <c r="AX22" s="2">
        <f t="shared" si="9"/>
        <v>0</v>
      </c>
      <c r="AY22" s="2">
        <f t="shared" si="9"/>
        <v>154661.26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CA787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DG787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EM787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FS787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ROW(A179)</f>
        <v>179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B179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Туалетные модули 3 кабины в блоке. (15 модулей.)</v>
      </c>
      <c r="H26" s="2"/>
      <c r="I26" s="2"/>
      <c r="J26" s="2"/>
      <c r="K26" s="2"/>
      <c r="L26" s="2"/>
      <c r="M26" s="2"/>
      <c r="N26" s="2"/>
      <c r="O26" s="2">
        <f t="shared" ref="O26:AT26" si="15">O179</f>
        <v>652875.99</v>
      </c>
      <c r="P26" s="2">
        <f t="shared" si="15"/>
        <v>92965.15</v>
      </c>
      <c r="Q26" s="2">
        <f t="shared" si="15"/>
        <v>30860.05</v>
      </c>
      <c r="R26" s="2">
        <f t="shared" si="15"/>
        <v>19288.46</v>
      </c>
      <c r="S26" s="2">
        <f t="shared" si="15"/>
        <v>529050.79</v>
      </c>
      <c r="T26" s="2">
        <f t="shared" si="15"/>
        <v>0</v>
      </c>
      <c r="U26" s="2">
        <f t="shared" si="15"/>
        <v>884.44349999999997</v>
      </c>
      <c r="V26" s="2">
        <f t="shared" si="15"/>
        <v>0</v>
      </c>
      <c r="W26" s="2">
        <f t="shared" si="15"/>
        <v>0</v>
      </c>
      <c r="X26" s="2">
        <f t="shared" si="15"/>
        <v>370335.57</v>
      </c>
      <c r="Y26" s="2">
        <f t="shared" si="15"/>
        <v>52905.11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1096948.21</v>
      </c>
      <c r="AS26" s="2">
        <f t="shared" si="15"/>
        <v>0</v>
      </c>
      <c r="AT26" s="2">
        <f t="shared" si="15"/>
        <v>0</v>
      </c>
      <c r="AU26" s="2">
        <f t="shared" ref="AU26:BZ26" si="16">AU179</f>
        <v>1096948.21</v>
      </c>
      <c r="AV26" s="2">
        <f t="shared" si="16"/>
        <v>92965.15</v>
      </c>
      <c r="AW26" s="2">
        <f t="shared" si="16"/>
        <v>92965.15</v>
      </c>
      <c r="AX26" s="2">
        <f t="shared" si="16"/>
        <v>0</v>
      </c>
      <c r="AY26" s="2">
        <f t="shared" si="16"/>
        <v>92965.15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CA179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DG179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EM179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FS179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ROW(A50)</f>
        <v>50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B50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Оборудование водоснабжения и водоотведения</v>
      </c>
      <c r="H30" s="2"/>
      <c r="I30" s="2"/>
      <c r="J30" s="2"/>
      <c r="K30" s="2"/>
      <c r="L30" s="2"/>
      <c r="M30" s="2"/>
      <c r="N30" s="2"/>
      <c r="O30" s="2">
        <f t="shared" ref="O30:AT30" si="22">O50</f>
        <v>101092.5</v>
      </c>
      <c r="P30" s="2">
        <f t="shared" si="22"/>
        <v>808.51</v>
      </c>
      <c r="Q30" s="2">
        <f t="shared" si="22"/>
        <v>7091.84</v>
      </c>
      <c r="R30" s="2">
        <f t="shared" si="22"/>
        <v>4461.9399999999996</v>
      </c>
      <c r="S30" s="2">
        <f t="shared" si="22"/>
        <v>93192.15</v>
      </c>
      <c r="T30" s="2">
        <f t="shared" si="22"/>
        <v>0</v>
      </c>
      <c r="U30" s="2">
        <f t="shared" si="22"/>
        <v>177.2655</v>
      </c>
      <c r="V30" s="2">
        <f t="shared" si="22"/>
        <v>0</v>
      </c>
      <c r="W30" s="2">
        <f t="shared" si="22"/>
        <v>0</v>
      </c>
      <c r="X30" s="2">
        <f t="shared" si="22"/>
        <v>65234.51</v>
      </c>
      <c r="Y30" s="2">
        <f t="shared" si="22"/>
        <v>9319.2199999999993</v>
      </c>
      <c r="Z30" s="2">
        <f t="shared" si="22"/>
        <v>0</v>
      </c>
      <c r="AA30" s="2">
        <f t="shared" si="22"/>
        <v>0</v>
      </c>
      <c r="AB30" s="2">
        <f t="shared" si="22"/>
        <v>101092.5</v>
      </c>
      <c r="AC30" s="2">
        <f t="shared" si="22"/>
        <v>808.51</v>
      </c>
      <c r="AD30" s="2">
        <f t="shared" si="22"/>
        <v>7091.84</v>
      </c>
      <c r="AE30" s="2">
        <f t="shared" si="22"/>
        <v>4461.9399999999996</v>
      </c>
      <c r="AF30" s="2">
        <f t="shared" si="22"/>
        <v>93192.15</v>
      </c>
      <c r="AG30" s="2">
        <f t="shared" si="22"/>
        <v>0</v>
      </c>
      <c r="AH30" s="2">
        <f t="shared" si="22"/>
        <v>177.2655</v>
      </c>
      <c r="AI30" s="2">
        <f t="shared" si="22"/>
        <v>0</v>
      </c>
      <c r="AJ30" s="2">
        <f t="shared" si="22"/>
        <v>0</v>
      </c>
      <c r="AK30" s="2">
        <f t="shared" si="22"/>
        <v>65234.51</v>
      </c>
      <c r="AL30" s="2">
        <f t="shared" si="22"/>
        <v>9319.2199999999993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180465.13</v>
      </c>
      <c r="AS30" s="2">
        <f t="shared" si="22"/>
        <v>0</v>
      </c>
      <c r="AT30" s="2">
        <f t="shared" si="22"/>
        <v>0</v>
      </c>
      <c r="AU30" s="2">
        <f t="shared" ref="AU30:BZ30" si="23">AU50</f>
        <v>180465.13</v>
      </c>
      <c r="AV30" s="2">
        <f t="shared" si="23"/>
        <v>808.51</v>
      </c>
      <c r="AW30" s="2">
        <f t="shared" si="23"/>
        <v>808.51</v>
      </c>
      <c r="AX30" s="2">
        <f t="shared" si="23"/>
        <v>0</v>
      </c>
      <c r="AY30" s="2">
        <f t="shared" si="23"/>
        <v>808.51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CA50</f>
        <v>180465.13</v>
      </c>
      <c r="CB30" s="2">
        <f t="shared" si="24"/>
        <v>0</v>
      </c>
      <c r="CC30" s="2">
        <f t="shared" si="24"/>
        <v>0</v>
      </c>
      <c r="CD30" s="2">
        <f t="shared" si="24"/>
        <v>180465.13</v>
      </c>
      <c r="CE30" s="2">
        <f t="shared" si="24"/>
        <v>808.51</v>
      </c>
      <c r="CF30" s="2">
        <f t="shared" si="24"/>
        <v>808.51</v>
      </c>
      <c r="CG30" s="2">
        <f t="shared" si="24"/>
        <v>0</v>
      </c>
      <c r="CH30" s="2">
        <f t="shared" si="24"/>
        <v>808.51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DG50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EM50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FS50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16</v>
      </c>
      <c r="G32" t="s">
        <v>17</v>
      </c>
      <c r="H32" t="s">
        <v>18</v>
      </c>
      <c r="I32">
        <f>ROUND((15)*3/10,9)</f>
        <v>4.5</v>
      </c>
      <c r="J32">
        <v>0</v>
      </c>
      <c r="K32">
        <f>ROUND((15)*3/10,9)</f>
        <v>4.5</v>
      </c>
      <c r="O32">
        <f t="shared" ref="O32:O48" si="28">ROUND(CP32,2)</f>
        <v>59520.06</v>
      </c>
      <c r="P32">
        <f t="shared" ref="P32:P48" si="29">ROUND(CQ32*I32,2)</f>
        <v>0</v>
      </c>
      <c r="Q32">
        <f t="shared" ref="Q32:Q48" si="30">ROUND(CR32*I32,2)</f>
        <v>0</v>
      </c>
      <c r="R32">
        <f t="shared" ref="R32:R48" si="31">ROUND(CS32*I32,2)</f>
        <v>0</v>
      </c>
      <c r="S32">
        <f t="shared" ref="S32:S48" si="32">ROUND(CT32*I32,2)</f>
        <v>59520.06</v>
      </c>
      <c r="T32">
        <f t="shared" ref="T32:T48" si="33">ROUND(CU32*I32,2)</f>
        <v>0</v>
      </c>
      <c r="U32">
        <f t="shared" ref="U32:U48" si="34">CV32*I32</f>
        <v>96.390000000000015</v>
      </c>
      <c r="V32">
        <f t="shared" ref="V32:V48" si="35">CW32*I32</f>
        <v>0</v>
      </c>
      <c r="W32">
        <f t="shared" ref="W32:W48" si="36">ROUND(CX32*I32,2)</f>
        <v>0</v>
      </c>
      <c r="X32">
        <f t="shared" ref="X32:X48" si="37">ROUND(CY32,2)</f>
        <v>41664.04</v>
      </c>
      <c r="Y32">
        <f t="shared" ref="Y32:Y48" si="38">ROUND(CZ32,2)</f>
        <v>5952.01</v>
      </c>
      <c r="AA32">
        <v>-1</v>
      </c>
      <c r="AB32">
        <f t="shared" ref="AB32:AB48" si="39">ROUND((AC32+AD32+AF32),6)</f>
        <v>13226.68</v>
      </c>
      <c r="AC32">
        <f>ROUND(((ES32*17)),6)</f>
        <v>0</v>
      </c>
      <c r="AD32">
        <f>ROUND(((((ET32*17))-((EU32*17)))+AE32),6)</f>
        <v>0</v>
      </c>
      <c r="AE32">
        <f>ROUND(((EU32*17)),6)</f>
        <v>0</v>
      </c>
      <c r="AF32">
        <f>ROUND(((EV32*17)),6)</f>
        <v>13226.68</v>
      </c>
      <c r="AG32">
        <f t="shared" ref="AG32:AG48" si="40">ROUND((AP32),6)</f>
        <v>0</v>
      </c>
      <c r="AH32">
        <f>((EW32*17))</f>
        <v>21.42</v>
      </c>
      <c r="AI32">
        <f>((EX32*17))</f>
        <v>0</v>
      </c>
      <c r="AJ32">
        <f t="shared" ref="AJ32:AJ48" si="41">(AS32)</f>
        <v>0</v>
      </c>
      <c r="AK32">
        <v>778.04</v>
      </c>
      <c r="AL32">
        <v>0</v>
      </c>
      <c r="AM32">
        <v>0</v>
      </c>
      <c r="AN32">
        <v>0</v>
      </c>
      <c r="AO32">
        <v>778.04</v>
      </c>
      <c r="AP32">
        <v>0</v>
      </c>
      <c r="AQ32">
        <v>1.26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19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8" si="42">(P32+Q32+S32)</f>
        <v>59520.06</v>
      </c>
      <c r="CQ32">
        <f t="shared" ref="CQ32:CQ48" si="43">(AC32*BC32*AW32)</f>
        <v>0</v>
      </c>
      <c r="CR32">
        <f>(((((ET32*17))*BB32-((EU32*17))*BS32)+AE32*BS32)*AV32)</f>
        <v>0</v>
      </c>
      <c r="CS32">
        <f t="shared" ref="CS32:CS48" si="44">(AE32*BS32*AV32)</f>
        <v>0</v>
      </c>
      <c r="CT32">
        <f t="shared" ref="CT32:CT48" si="45">(AF32*BA32*AV32)</f>
        <v>13226.68</v>
      </c>
      <c r="CU32">
        <f t="shared" ref="CU32:CU48" si="46">AG32</f>
        <v>0</v>
      </c>
      <c r="CV32">
        <f t="shared" ref="CV32:CV48" si="47">(AH32*AV32)</f>
        <v>21.42</v>
      </c>
      <c r="CW32">
        <f t="shared" ref="CW32:CW48" si="48">AI32</f>
        <v>0</v>
      </c>
      <c r="CX32">
        <f t="shared" ref="CX32:CX48" si="49">AJ32</f>
        <v>0</v>
      </c>
      <c r="CY32">
        <f t="shared" ref="CY32:CY48" si="50">((S32*BZ32)/100)</f>
        <v>41664.041999999994</v>
      </c>
      <c r="CZ32">
        <f t="shared" ref="CZ32:CZ48" si="51">((S32*CA32)/100)</f>
        <v>5952.0059999999994</v>
      </c>
      <c r="DC32" t="s">
        <v>3</v>
      </c>
      <c r="DD32" t="s">
        <v>20</v>
      </c>
      <c r="DE32" t="s">
        <v>20</v>
      </c>
      <c r="DF32" t="s">
        <v>20</v>
      </c>
      <c r="DG32" t="s">
        <v>20</v>
      </c>
      <c r="DH32" t="s">
        <v>3</v>
      </c>
      <c r="DI32" t="s">
        <v>20</v>
      </c>
      <c r="DJ32" t="s">
        <v>20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18</v>
      </c>
      <c r="DW32" t="s">
        <v>18</v>
      </c>
      <c r="DX32">
        <v>10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1024</v>
      </c>
      <c r="ER32">
        <v>778.04</v>
      </c>
      <c r="ES32">
        <v>0</v>
      </c>
      <c r="ET32">
        <v>0</v>
      </c>
      <c r="EU32">
        <v>0</v>
      </c>
      <c r="EV32">
        <v>778.04</v>
      </c>
      <c r="EW32">
        <v>1.26</v>
      </c>
      <c r="EX32">
        <v>0</v>
      </c>
      <c r="EY32">
        <v>0</v>
      </c>
      <c r="FQ32">
        <v>0</v>
      </c>
      <c r="FR32">
        <f t="shared" ref="FR32:FR48" si="52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1084928283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48" si="53">ROUND(IF(AND(BH32=3,BI32=3,FS32&lt;&gt;0),P32,0),2)</f>
        <v>0</v>
      </c>
      <c r="GM32">
        <f t="shared" ref="GM32:GM48" si="54">ROUND(O32+X32+Y32+GK32,2)+GX32</f>
        <v>107136.11</v>
      </c>
      <c r="GN32">
        <f t="shared" ref="GN32:GN48" si="55">IF(OR(BI32=0,BI32=1),GM32-GX32,0)</f>
        <v>0</v>
      </c>
      <c r="GO32">
        <f t="shared" ref="GO32:GO48" si="56">IF(BI32=2,GM32-GX32,0)</f>
        <v>0</v>
      </c>
      <c r="GP32">
        <f t="shared" ref="GP32:GP48" si="57">IF(BI32=4,GM32-GX32,0)</f>
        <v>107136.11</v>
      </c>
      <c r="GR32">
        <v>0</v>
      </c>
      <c r="GS32">
        <v>3</v>
      </c>
      <c r="GT32">
        <v>0</v>
      </c>
      <c r="GU32" t="s">
        <v>3</v>
      </c>
      <c r="GV32">
        <f t="shared" ref="GV32:GV48" si="58">ROUND((GT32),6)</f>
        <v>0</v>
      </c>
      <c r="GW32">
        <v>1</v>
      </c>
      <c r="GX32">
        <f t="shared" ref="GX32:GX48" si="59">ROUND(HC32*I32,2)</f>
        <v>0</v>
      </c>
      <c r="HA32">
        <v>0</v>
      </c>
      <c r="HB32">
        <v>0</v>
      </c>
      <c r="HC32">
        <f t="shared" ref="HC32:HC48" si="60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ROW(EtalonRes!A2)</f>
        <v>2</v>
      </c>
      <c r="E33" t="s">
        <v>3</v>
      </c>
      <c r="F33" t="s">
        <v>24</v>
      </c>
      <c r="G33" t="s">
        <v>25</v>
      </c>
      <c r="H33" t="s">
        <v>18</v>
      </c>
      <c r="I33">
        <f>ROUND(23*3/10,9)</f>
        <v>6.9</v>
      </c>
      <c r="J33">
        <v>0</v>
      </c>
      <c r="K33">
        <f>ROUND(23*3/10,9)</f>
        <v>6.9</v>
      </c>
      <c r="O33">
        <f t="shared" si="28"/>
        <v>33317.89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33317.89</v>
      </c>
      <c r="T33">
        <f t="shared" si="33"/>
        <v>0</v>
      </c>
      <c r="U33">
        <f t="shared" si="34"/>
        <v>53.958000000000006</v>
      </c>
      <c r="V33">
        <f t="shared" si="35"/>
        <v>0</v>
      </c>
      <c r="W33">
        <f t="shared" si="36"/>
        <v>0</v>
      </c>
      <c r="X33">
        <f t="shared" si="37"/>
        <v>23322.52</v>
      </c>
      <c r="Y33">
        <f t="shared" si="38"/>
        <v>3331.79</v>
      </c>
      <c r="AA33">
        <v>-1</v>
      </c>
      <c r="AB33">
        <f t="shared" si="39"/>
        <v>4828.68</v>
      </c>
      <c r="AC33">
        <f t="shared" ref="AC33:AC39" si="61">ROUND((ES33),6)</f>
        <v>0</v>
      </c>
      <c r="AD33">
        <f>ROUND(((((ET33*34))-((EU33*34)))+AE33),6)</f>
        <v>0</v>
      </c>
      <c r="AE33">
        <f>ROUND(((EU33*34)),6)</f>
        <v>0</v>
      </c>
      <c r="AF33">
        <f>ROUND(((EV33*34)),6)</f>
        <v>4828.68</v>
      </c>
      <c r="AG33">
        <f t="shared" si="40"/>
        <v>0</v>
      </c>
      <c r="AH33">
        <f>((EW33*34))</f>
        <v>7.82</v>
      </c>
      <c r="AI33">
        <f>((EX33*34))</f>
        <v>0</v>
      </c>
      <c r="AJ33">
        <f t="shared" si="41"/>
        <v>0</v>
      </c>
      <c r="AK33">
        <v>142.02000000000001</v>
      </c>
      <c r="AL33">
        <v>0</v>
      </c>
      <c r="AM33">
        <v>0</v>
      </c>
      <c r="AN33">
        <v>0</v>
      </c>
      <c r="AO33">
        <v>142.02000000000001</v>
      </c>
      <c r="AP33">
        <v>0</v>
      </c>
      <c r="AQ33">
        <v>0.23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26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33317.89</v>
      </c>
      <c r="CQ33">
        <f t="shared" si="43"/>
        <v>0</v>
      </c>
      <c r="CR33">
        <f>(((((ET33*34))*BB33-((EU33*34))*BS33)+AE33*BS33)*AV33)</f>
        <v>0</v>
      </c>
      <c r="CS33">
        <f t="shared" si="44"/>
        <v>0</v>
      </c>
      <c r="CT33">
        <f t="shared" si="45"/>
        <v>4828.68</v>
      </c>
      <c r="CU33">
        <f t="shared" si="46"/>
        <v>0</v>
      </c>
      <c r="CV33">
        <f t="shared" si="47"/>
        <v>7.82</v>
      </c>
      <c r="CW33">
        <f t="shared" si="48"/>
        <v>0</v>
      </c>
      <c r="CX33">
        <f t="shared" si="49"/>
        <v>0</v>
      </c>
      <c r="CY33">
        <f t="shared" si="50"/>
        <v>23322.522999999997</v>
      </c>
      <c r="CZ33">
        <f t="shared" si="51"/>
        <v>3331.7890000000002</v>
      </c>
      <c r="DC33" t="s">
        <v>3</v>
      </c>
      <c r="DD33" t="s">
        <v>3</v>
      </c>
      <c r="DE33" t="s">
        <v>27</v>
      </c>
      <c r="DF33" t="s">
        <v>27</v>
      </c>
      <c r="DG33" t="s">
        <v>27</v>
      </c>
      <c r="DH33" t="s">
        <v>3</v>
      </c>
      <c r="DI33" t="s">
        <v>27</v>
      </c>
      <c r="DJ33" t="s">
        <v>27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18</v>
      </c>
      <c r="DW33" t="s">
        <v>18</v>
      </c>
      <c r="DX33">
        <v>10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1024</v>
      </c>
      <c r="ER33">
        <v>142.02000000000001</v>
      </c>
      <c r="ES33">
        <v>0</v>
      </c>
      <c r="ET33">
        <v>0</v>
      </c>
      <c r="EU33">
        <v>0</v>
      </c>
      <c r="EV33">
        <v>142.02000000000001</v>
      </c>
      <c r="EW33">
        <v>0.23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1349611776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59972.2</v>
      </c>
      <c r="GN33">
        <f t="shared" si="55"/>
        <v>0</v>
      </c>
      <c r="GO33">
        <f t="shared" si="56"/>
        <v>0</v>
      </c>
      <c r="GP33">
        <f t="shared" si="57"/>
        <v>59972.2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ROW(EtalonRes!A7)</f>
        <v>7</v>
      </c>
      <c r="E34" t="s">
        <v>28</v>
      </c>
      <c r="F34" t="s">
        <v>29</v>
      </c>
      <c r="G34" t="s">
        <v>30</v>
      </c>
      <c r="H34" t="s">
        <v>31</v>
      </c>
      <c r="I34">
        <f>ROUND((15)*3/100,9)</f>
        <v>0.45</v>
      </c>
      <c r="J34">
        <v>0</v>
      </c>
      <c r="K34">
        <f>ROUND((15)*3/100,9)</f>
        <v>0.45</v>
      </c>
      <c r="O34">
        <f t="shared" si="28"/>
        <v>24198.2</v>
      </c>
      <c r="P34">
        <f t="shared" si="29"/>
        <v>349.45</v>
      </c>
      <c r="Q34">
        <f t="shared" si="30"/>
        <v>27.82</v>
      </c>
      <c r="R34">
        <f t="shared" si="31"/>
        <v>0.32</v>
      </c>
      <c r="S34">
        <f t="shared" si="32"/>
        <v>23820.93</v>
      </c>
      <c r="T34">
        <f t="shared" si="33"/>
        <v>0</v>
      </c>
      <c r="U34">
        <f t="shared" si="34"/>
        <v>46.997999999999998</v>
      </c>
      <c r="V34">
        <f t="shared" si="35"/>
        <v>0</v>
      </c>
      <c r="W34">
        <f t="shared" si="36"/>
        <v>0</v>
      </c>
      <c r="X34">
        <f t="shared" si="37"/>
        <v>16674.650000000001</v>
      </c>
      <c r="Y34">
        <f t="shared" si="38"/>
        <v>2382.09</v>
      </c>
      <c r="AA34">
        <v>1471531721</v>
      </c>
      <c r="AB34">
        <f t="shared" si="39"/>
        <v>53773.79</v>
      </c>
      <c r="AC34">
        <f t="shared" si="61"/>
        <v>776.55</v>
      </c>
      <c r="AD34">
        <f t="shared" ref="AD34:AD39" si="62">ROUND((((ET34)-(EU34))+AE34),6)</f>
        <v>61.83</v>
      </c>
      <c r="AE34">
        <f t="shared" ref="AE34:AF39" si="63">ROUND((EU34),6)</f>
        <v>0.7</v>
      </c>
      <c r="AF34">
        <f t="shared" si="63"/>
        <v>52935.41</v>
      </c>
      <c r="AG34">
        <f t="shared" si="40"/>
        <v>0</v>
      </c>
      <c r="AH34">
        <f t="shared" ref="AH34:AI39" si="64">(EW34)</f>
        <v>104.44</v>
      </c>
      <c r="AI34">
        <f t="shared" si="64"/>
        <v>0</v>
      </c>
      <c r="AJ34">
        <f t="shared" si="41"/>
        <v>0</v>
      </c>
      <c r="AK34">
        <v>53773.79</v>
      </c>
      <c r="AL34">
        <v>776.55</v>
      </c>
      <c r="AM34">
        <v>61.83</v>
      </c>
      <c r="AN34">
        <v>0.7</v>
      </c>
      <c r="AO34">
        <v>52935.41</v>
      </c>
      <c r="AP34">
        <v>0</v>
      </c>
      <c r="AQ34">
        <v>104.44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32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24198.2</v>
      </c>
      <c r="CQ34">
        <f t="shared" si="43"/>
        <v>776.55</v>
      </c>
      <c r="CR34">
        <f t="shared" ref="CR34:CR39" si="65">((((ET34)*BB34-(EU34)*BS34)+AE34*BS34)*AV34)</f>
        <v>61.83</v>
      </c>
      <c r="CS34">
        <f t="shared" si="44"/>
        <v>0.7</v>
      </c>
      <c r="CT34">
        <f t="shared" si="45"/>
        <v>52935.41</v>
      </c>
      <c r="CU34">
        <f t="shared" si="46"/>
        <v>0</v>
      </c>
      <c r="CV34">
        <f t="shared" si="47"/>
        <v>104.44</v>
      </c>
      <c r="CW34">
        <f t="shared" si="48"/>
        <v>0</v>
      </c>
      <c r="CX34">
        <f t="shared" si="49"/>
        <v>0</v>
      </c>
      <c r="CY34">
        <f t="shared" si="50"/>
        <v>16674.651000000002</v>
      </c>
      <c r="CZ34">
        <f t="shared" si="51"/>
        <v>2382.0929999999998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31</v>
      </c>
      <c r="DW34" t="s">
        <v>31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0</v>
      </c>
      <c r="ER34">
        <v>53773.79</v>
      </c>
      <c r="ES34">
        <v>776.55</v>
      </c>
      <c r="ET34">
        <v>61.83</v>
      </c>
      <c r="EU34">
        <v>0.7</v>
      </c>
      <c r="EV34">
        <v>52935.41</v>
      </c>
      <c r="EW34">
        <v>104.44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-36092940</v>
      </c>
      <c r="GG34">
        <v>2</v>
      </c>
      <c r="GH34">
        <v>1</v>
      </c>
      <c r="GI34">
        <v>-2</v>
      </c>
      <c r="GJ34">
        <v>0</v>
      </c>
      <c r="GK34">
        <f>ROUND(R34*(R12)/100,2)</f>
        <v>0.35</v>
      </c>
      <c r="GL34">
        <f t="shared" si="53"/>
        <v>0</v>
      </c>
      <c r="GM34">
        <f t="shared" si="54"/>
        <v>43255.29</v>
      </c>
      <c r="GN34">
        <f t="shared" si="55"/>
        <v>0</v>
      </c>
      <c r="GO34">
        <f t="shared" si="56"/>
        <v>0</v>
      </c>
      <c r="GP34">
        <f t="shared" si="57"/>
        <v>43255.29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ROW(EtalonRes!A12)</f>
        <v>12</v>
      </c>
      <c r="E35" t="s">
        <v>33</v>
      </c>
      <c r="F35" t="s">
        <v>34</v>
      </c>
      <c r="G35" t="s">
        <v>35</v>
      </c>
      <c r="H35" t="s">
        <v>31</v>
      </c>
      <c r="I35">
        <f>ROUND((15)*3/100,9)</f>
        <v>0.45</v>
      </c>
      <c r="J35">
        <v>0</v>
      </c>
      <c r="K35">
        <f>ROUND((15)*3/100,9)</f>
        <v>0.45</v>
      </c>
      <c r="O35">
        <f t="shared" si="28"/>
        <v>35029.839999999997</v>
      </c>
      <c r="P35">
        <f t="shared" si="29"/>
        <v>349.45</v>
      </c>
      <c r="Q35">
        <f t="shared" si="30"/>
        <v>27.82</v>
      </c>
      <c r="R35">
        <f t="shared" si="31"/>
        <v>0.32</v>
      </c>
      <c r="S35">
        <f t="shared" si="32"/>
        <v>34652.57</v>
      </c>
      <c r="T35">
        <f t="shared" si="33"/>
        <v>0</v>
      </c>
      <c r="U35">
        <f t="shared" si="34"/>
        <v>68.368500000000012</v>
      </c>
      <c r="V35">
        <f t="shared" si="35"/>
        <v>0</v>
      </c>
      <c r="W35">
        <f t="shared" si="36"/>
        <v>0</v>
      </c>
      <c r="X35">
        <f t="shared" si="37"/>
        <v>24256.799999999999</v>
      </c>
      <c r="Y35">
        <f t="shared" si="38"/>
        <v>3465.26</v>
      </c>
      <c r="AA35">
        <v>1471531721</v>
      </c>
      <c r="AB35">
        <f t="shared" si="39"/>
        <v>77844.100000000006</v>
      </c>
      <c r="AC35">
        <f t="shared" si="61"/>
        <v>776.55</v>
      </c>
      <c r="AD35">
        <f t="shared" si="62"/>
        <v>61.83</v>
      </c>
      <c r="AE35">
        <f t="shared" si="63"/>
        <v>0.7</v>
      </c>
      <c r="AF35">
        <f t="shared" si="63"/>
        <v>77005.72</v>
      </c>
      <c r="AG35">
        <f t="shared" si="40"/>
        <v>0</v>
      </c>
      <c r="AH35">
        <f t="shared" si="64"/>
        <v>151.93</v>
      </c>
      <c r="AI35">
        <f t="shared" si="64"/>
        <v>0</v>
      </c>
      <c r="AJ35">
        <f t="shared" si="41"/>
        <v>0</v>
      </c>
      <c r="AK35">
        <v>77844.100000000006</v>
      </c>
      <c r="AL35">
        <v>776.55</v>
      </c>
      <c r="AM35">
        <v>61.83</v>
      </c>
      <c r="AN35">
        <v>0.7</v>
      </c>
      <c r="AO35">
        <v>77005.72</v>
      </c>
      <c r="AP35">
        <v>0</v>
      </c>
      <c r="AQ35">
        <v>151.93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36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35029.839999999997</v>
      </c>
      <c r="CQ35">
        <f t="shared" si="43"/>
        <v>776.55</v>
      </c>
      <c r="CR35">
        <f t="shared" si="65"/>
        <v>61.83</v>
      </c>
      <c r="CS35">
        <f t="shared" si="44"/>
        <v>0.7</v>
      </c>
      <c r="CT35">
        <f t="shared" si="45"/>
        <v>77005.72</v>
      </c>
      <c r="CU35">
        <f t="shared" si="46"/>
        <v>0</v>
      </c>
      <c r="CV35">
        <f t="shared" si="47"/>
        <v>151.93</v>
      </c>
      <c r="CW35">
        <f t="shared" si="48"/>
        <v>0</v>
      </c>
      <c r="CX35">
        <f t="shared" si="49"/>
        <v>0</v>
      </c>
      <c r="CY35">
        <f t="shared" si="50"/>
        <v>24256.798999999999</v>
      </c>
      <c r="CZ35">
        <f t="shared" si="51"/>
        <v>3465.2570000000001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31</v>
      </c>
      <c r="DW35" t="s">
        <v>31</v>
      </c>
      <c r="DX35">
        <v>100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77844.100000000006</v>
      </c>
      <c r="ES35">
        <v>776.55</v>
      </c>
      <c r="ET35">
        <v>61.83</v>
      </c>
      <c r="EU35">
        <v>0.7</v>
      </c>
      <c r="EV35">
        <v>77005.72</v>
      </c>
      <c r="EW35">
        <v>151.93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1944845796</v>
      </c>
      <c r="GG35">
        <v>2</v>
      </c>
      <c r="GH35">
        <v>1</v>
      </c>
      <c r="GI35">
        <v>-2</v>
      </c>
      <c r="GJ35">
        <v>0</v>
      </c>
      <c r="GK35">
        <f>ROUND(R35*(R12)/100,2)</f>
        <v>0.35</v>
      </c>
      <c r="GL35">
        <f t="shared" si="53"/>
        <v>0</v>
      </c>
      <c r="GM35">
        <f t="shared" si="54"/>
        <v>62752.25</v>
      </c>
      <c r="GN35">
        <f t="shared" si="55"/>
        <v>0</v>
      </c>
      <c r="GO35">
        <f t="shared" si="56"/>
        <v>0</v>
      </c>
      <c r="GP35">
        <f t="shared" si="57"/>
        <v>62752.25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ROW(EtalonRes!A13)</f>
        <v>13</v>
      </c>
      <c r="E36" t="s">
        <v>3</v>
      </c>
      <c r="F36" t="s">
        <v>37</v>
      </c>
      <c r="G36" t="s">
        <v>38</v>
      </c>
      <c r="H36" t="s">
        <v>39</v>
      </c>
      <c r="I36">
        <f>ROUND(45,9)</f>
        <v>45</v>
      </c>
      <c r="J36">
        <v>0</v>
      </c>
      <c r="K36">
        <f>ROUND(45,9)</f>
        <v>45</v>
      </c>
      <c r="O36">
        <f t="shared" si="28"/>
        <v>22785.3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22785.3</v>
      </c>
      <c r="T36">
        <f t="shared" si="33"/>
        <v>0</v>
      </c>
      <c r="U36">
        <f t="shared" si="34"/>
        <v>36.9</v>
      </c>
      <c r="V36">
        <f t="shared" si="35"/>
        <v>0</v>
      </c>
      <c r="W36">
        <f t="shared" si="36"/>
        <v>0</v>
      </c>
      <c r="X36">
        <f t="shared" si="37"/>
        <v>15949.71</v>
      </c>
      <c r="Y36">
        <f t="shared" si="38"/>
        <v>2278.5300000000002</v>
      </c>
      <c r="AA36">
        <v>-1</v>
      </c>
      <c r="AB36">
        <f t="shared" si="39"/>
        <v>506.34</v>
      </c>
      <c r="AC36">
        <f t="shared" si="61"/>
        <v>0</v>
      </c>
      <c r="AD36">
        <f t="shared" si="62"/>
        <v>0</v>
      </c>
      <c r="AE36">
        <f t="shared" si="63"/>
        <v>0</v>
      </c>
      <c r="AF36">
        <f t="shared" si="63"/>
        <v>506.34</v>
      </c>
      <c r="AG36">
        <f t="shared" si="40"/>
        <v>0</v>
      </c>
      <c r="AH36">
        <f t="shared" si="64"/>
        <v>0.82</v>
      </c>
      <c r="AI36">
        <f t="shared" si="64"/>
        <v>0</v>
      </c>
      <c r="AJ36">
        <f t="shared" si="41"/>
        <v>0</v>
      </c>
      <c r="AK36">
        <v>506.34</v>
      </c>
      <c r="AL36">
        <v>0</v>
      </c>
      <c r="AM36">
        <v>0</v>
      </c>
      <c r="AN36">
        <v>0</v>
      </c>
      <c r="AO36">
        <v>506.34</v>
      </c>
      <c r="AP36">
        <v>0</v>
      </c>
      <c r="AQ36">
        <v>0.82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40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22785.3</v>
      </c>
      <c r="CQ36">
        <f t="shared" si="43"/>
        <v>0</v>
      </c>
      <c r="CR36">
        <f t="shared" si="65"/>
        <v>0</v>
      </c>
      <c r="CS36">
        <f t="shared" si="44"/>
        <v>0</v>
      </c>
      <c r="CT36">
        <f t="shared" si="45"/>
        <v>506.34</v>
      </c>
      <c r="CU36">
        <f t="shared" si="46"/>
        <v>0</v>
      </c>
      <c r="CV36">
        <f t="shared" si="47"/>
        <v>0.82</v>
      </c>
      <c r="CW36">
        <f t="shared" si="48"/>
        <v>0</v>
      </c>
      <c r="CX36">
        <f t="shared" si="49"/>
        <v>0</v>
      </c>
      <c r="CY36">
        <f t="shared" si="50"/>
        <v>15949.71</v>
      </c>
      <c r="CZ36">
        <f t="shared" si="51"/>
        <v>2278.5300000000002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39</v>
      </c>
      <c r="DW36" t="s">
        <v>39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1311744</v>
      </c>
      <c r="ER36">
        <v>506.34</v>
      </c>
      <c r="ES36">
        <v>0</v>
      </c>
      <c r="ET36">
        <v>0</v>
      </c>
      <c r="EU36">
        <v>0</v>
      </c>
      <c r="EV36">
        <v>506.34</v>
      </c>
      <c r="EW36">
        <v>0.82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1354931498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41013.54</v>
      </c>
      <c r="GN36">
        <f t="shared" si="55"/>
        <v>0</v>
      </c>
      <c r="GO36">
        <f t="shared" si="56"/>
        <v>0</v>
      </c>
      <c r="GP36">
        <f t="shared" si="57"/>
        <v>41013.54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ROW(EtalonRes!A15)</f>
        <v>15</v>
      </c>
      <c r="E37" t="s">
        <v>41</v>
      </c>
      <c r="F37" t="s">
        <v>42</v>
      </c>
      <c r="G37" t="s">
        <v>43</v>
      </c>
      <c r="H37" t="s">
        <v>39</v>
      </c>
      <c r="I37">
        <f>ROUND((15)*3,9)</f>
        <v>45</v>
      </c>
      <c r="J37">
        <v>0</v>
      </c>
      <c r="K37">
        <f>ROUND((15)*3,9)</f>
        <v>45</v>
      </c>
      <c r="O37">
        <f t="shared" si="28"/>
        <v>12878.1</v>
      </c>
      <c r="P37">
        <f t="shared" si="29"/>
        <v>0</v>
      </c>
      <c r="Q37">
        <f t="shared" si="30"/>
        <v>3518.1</v>
      </c>
      <c r="R37">
        <f t="shared" si="31"/>
        <v>2230.65</v>
      </c>
      <c r="S37">
        <f t="shared" si="32"/>
        <v>9360</v>
      </c>
      <c r="T37">
        <f t="shared" si="33"/>
        <v>0</v>
      </c>
      <c r="U37">
        <f t="shared" si="34"/>
        <v>16.649999999999999</v>
      </c>
      <c r="V37">
        <f t="shared" si="35"/>
        <v>0</v>
      </c>
      <c r="W37">
        <f t="shared" si="36"/>
        <v>0</v>
      </c>
      <c r="X37">
        <f t="shared" si="37"/>
        <v>6552</v>
      </c>
      <c r="Y37">
        <f t="shared" si="38"/>
        <v>936</v>
      </c>
      <c r="AA37">
        <v>1471531721</v>
      </c>
      <c r="AB37">
        <f t="shared" si="39"/>
        <v>286.18</v>
      </c>
      <c r="AC37">
        <f t="shared" si="61"/>
        <v>0</v>
      </c>
      <c r="AD37">
        <f t="shared" si="62"/>
        <v>78.180000000000007</v>
      </c>
      <c r="AE37">
        <f t="shared" si="63"/>
        <v>49.57</v>
      </c>
      <c r="AF37">
        <f t="shared" si="63"/>
        <v>208</v>
      </c>
      <c r="AG37">
        <f t="shared" si="40"/>
        <v>0</v>
      </c>
      <c r="AH37">
        <f t="shared" si="64"/>
        <v>0.37</v>
      </c>
      <c r="AI37">
        <f t="shared" si="64"/>
        <v>0</v>
      </c>
      <c r="AJ37">
        <f t="shared" si="41"/>
        <v>0</v>
      </c>
      <c r="AK37">
        <v>286.18</v>
      </c>
      <c r="AL37">
        <v>0</v>
      </c>
      <c r="AM37">
        <v>78.180000000000007</v>
      </c>
      <c r="AN37">
        <v>49.57</v>
      </c>
      <c r="AO37">
        <v>208</v>
      </c>
      <c r="AP37">
        <v>0</v>
      </c>
      <c r="AQ37">
        <v>0.37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44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12878.1</v>
      </c>
      <c r="CQ37">
        <f t="shared" si="43"/>
        <v>0</v>
      </c>
      <c r="CR37">
        <f t="shared" si="65"/>
        <v>78.180000000000007</v>
      </c>
      <c r="CS37">
        <f t="shared" si="44"/>
        <v>49.57</v>
      </c>
      <c r="CT37">
        <f t="shared" si="45"/>
        <v>208</v>
      </c>
      <c r="CU37">
        <f t="shared" si="46"/>
        <v>0</v>
      </c>
      <c r="CV37">
        <f t="shared" si="47"/>
        <v>0.37</v>
      </c>
      <c r="CW37">
        <f t="shared" si="48"/>
        <v>0</v>
      </c>
      <c r="CX37">
        <f t="shared" si="49"/>
        <v>0</v>
      </c>
      <c r="CY37">
        <f t="shared" si="50"/>
        <v>6552</v>
      </c>
      <c r="CZ37">
        <f t="shared" si="51"/>
        <v>936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39</v>
      </c>
      <c r="DW37" t="s">
        <v>39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0</v>
      </c>
      <c r="ER37">
        <v>286.18</v>
      </c>
      <c r="ES37">
        <v>0</v>
      </c>
      <c r="ET37">
        <v>78.180000000000007</v>
      </c>
      <c r="EU37">
        <v>49.57</v>
      </c>
      <c r="EV37">
        <v>208</v>
      </c>
      <c r="EW37">
        <v>0.37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1694456522</v>
      </c>
      <c r="GG37">
        <v>2</v>
      </c>
      <c r="GH37">
        <v>1</v>
      </c>
      <c r="GI37">
        <v>-2</v>
      </c>
      <c r="GJ37">
        <v>0</v>
      </c>
      <c r="GK37">
        <f>ROUND(R37*(R12)/100,2)</f>
        <v>2409.1</v>
      </c>
      <c r="GL37">
        <f t="shared" si="53"/>
        <v>0</v>
      </c>
      <c r="GM37">
        <f t="shared" si="54"/>
        <v>22775.200000000001</v>
      </c>
      <c r="GN37">
        <f t="shared" si="55"/>
        <v>0</v>
      </c>
      <c r="GO37">
        <f t="shared" si="56"/>
        <v>0</v>
      </c>
      <c r="GP37">
        <f t="shared" si="57"/>
        <v>22775.200000000001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ROW(EtalonRes!A16)</f>
        <v>16</v>
      </c>
      <c r="E38" t="s">
        <v>45</v>
      </c>
      <c r="F38" t="s">
        <v>46</v>
      </c>
      <c r="G38" t="s">
        <v>47</v>
      </c>
      <c r="H38" t="s">
        <v>48</v>
      </c>
      <c r="I38">
        <f>ROUND(15*3/100,9)</f>
        <v>0.45</v>
      </c>
      <c r="J38">
        <v>0</v>
      </c>
      <c r="K38">
        <f>ROUND(15*3/100,9)</f>
        <v>0.45</v>
      </c>
      <c r="O38">
        <f t="shared" si="28"/>
        <v>7153.25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7153.25</v>
      </c>
      <c r="T38">
        <f t="shared" si="33"/>
        <v>0</v>
      </c>
      <c r="U38">
        <f t="shared" si="34"/>
        <v>12.015000000000001</v>
      </c>
      <c r="V38">
        <f t="shared" si="35"/>
        <v>0</v>
      </c>
      <c r="W38">
        <f t="shared" si="36"/>
        <v>0</v>
      </c>
      <c r="X38">
        <f t="shared" si="37"/>
        <v>5007.28</v>
      </c>
      <c r="Y38">
        <f t="shared" si="38"/>
        <v>715.33</v>
      </c>
      <c r="AA38">
        <v>1471531721</v>
      </c>
      <c r="AB38">
        <f t="shared" si="39"/>
        <v>15896.11</v>
      </c>
      <c r="AC38">
        <f t="shared" si="61"/>
        <v>0</v>
      </c>
      <c r="AD38">
        <f t="shared" si="62"/>
        <v>0</v>
      </c>
      <c r="AE38">
        <f t="shared" si="63"/>
        <v>0</v>
      </c>
      <c r="AF38">
        <f t="shared" si="63"/>
        <v>15896.11</v>
      </c>
      <c r="AG38">
        <f t="shared" si="40"/>
        <v>0</v>
      </c>
      <c r="AH38">
        <f t="shared" si="64"/>
        <v>26.7</v>
      </c>
      <c r="AI38">
        <f t="shared" si="64"/>
        <v>0</v>
      </c>
      <c r="AJ38">
        <f t="shared" si="41"/>
        <v>0</v>
      </c>
      <c r="AK38">
        <v>15896.11</v>
      </c>
      <c r="AL38">
        <v>0</v>
      </c>
      <c r="AM38">
        <v>0</v>
      </c>
      <c r="AN38">
        <v>0</v>
      </c>
      <c r="AO38">
        <v>15896.11</v>
      </c>
      <c r="AP38">
        <v>0</v>
      </c>
      <c r="AQ38">
        <v>26.7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49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7153.25</v>
      </c>
      <c r="CQ38">
        <f t="shared" si="43"/>
        <v>0</v>
      </c>
      <c r="CR38">
        <f t="shared" si="65"/>
        <v>0</v>
      </c>
      <c r="CS38">
        <f t="shared" si="44"/>
        <v>0</v>
      </c>
      <c r="CT38">
        <f t="shared" si="45"/>
        <v>15896.11</v>
      </c>
      <c r="CU38">
        <f t="shared" si="46"/>
        <v>0</v>
      </c>
      <c r="CV38">
        <f t="shared" si="47"/>
        <v>26.7</v>
      </c>
      <c r="CW38">
        <f t="shared" si="48"/>
        <v>0</v>
      </c>
      <c r="CX38">
        <f t="shared" si="49"/>
        <v>0</v>
      </c>
      <c r="CY38">
        <f t="shared" si="50"/>
        <v>5007.2749999999996</v>
      </c>
      <c r="CZ38">
        <f t="shared" si="51"/>
        <v>715.32500000000005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48</v>
      </c>
      <c r="DW38" t="s">
        <v>48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0</v>
      </c>
      <c r="ER38">
        <v>15896.11</v>
      </c>
      <c r="ES38">
        <v>0</v>
      </c>
      <c r="ET38">
        <v>0</v>
      </c>
      <c r="EU38">
        <v>0</v>
      </c>
      <c r="EV38">
        <v>15896.11</v>
      </c>
      <c r="EW38">
        <v>26.7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-1089660975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12875.86</v>
      </c>
      <c r="GN38">
        <f t="shared" si="55"/>
        <v>0</v>
      </c>
      <c r="GO38">
        <f t="shared" si="56"/>
        <v>0</v>
      </c>
      <c r="GP38">
        <f t="shared" si="57"/>
        <v>12875.86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ROW(EtalonRes!A18)</f>
        <v>18</v>
      </c>
      <c r="E39" t="s">
        <v>50</v>
      </c>
      <c r="F39" t="s">
        <v>51</v>
      </c>
      <c r="G39" t="s">
        <v>52</v>
      </c>
      <c r="H39" t="s">
        <v>31</v>
      </c>
      <c r="I39">
        <f>ROUND((15)*3/100,9)</f>
        <v>0.45</v>
      </c>
      <c r="J39">
        <v>0</v>
      </c>
      <c r="K39">
        <f>ROUND((15)*3/100,9)</f>
        <v>0.45</v>
      </c>
      <c r="O39">
        <f t="shared" si="28"/>
        <v>6500.48</v>
      </c>
      <c r="P39">
        <f t="shared" si="29"/>
        <v>109.61</v>
      </c>
      <c r="Q39">
        <f t="shared" si="30"/>
        <v>0</v>
      </c>
      <c r="R39">
        <f t="shared" si="31"/>
        <v>0</v>
      </c>
      <c r="S39">
        <f t="shared" si="32"/>
        <v>6390.87</v>
      </c>
      <c r="T39">
        <f t="shared" si="33"/>
        <v>0</v>
      </c>
      <c r="U39">
        <f t="shared" si="34"/>
        <v>12.609</v>
      </c>
      <c r="V39">
        <f t="shared" si="35"/>
        <v>0</v>
      </c>
      <c r="W39">
        <f t="shared" si="36"/>
        <v>0</v>
      </c>
      <c r="X39">
        <f t="shared" si="37"/>
        <v>4473.6099999999997</v>
      </c>
      <c r="Y39">
        <f t="shared" si="38"/>
        <v>639.09</v>
      </c>
      <c r="AA39">
        <v>1471531721</v>
      </c>
      <c r="AB39">
        <f t="shared" si="39"/>
        <v>14445.51</v>
      </c>
      <c r="AC39">
        <f t="shared" si="61"/>
        <v>243.57</v>
      </c>
      <c r="AD39">
        <f t="shared" si="62"/>
        <v>0</v>
      </c>
      <c r="AE39">
        <f t="shared" si="63"/>
        <v>0</v>
      </c>
      <c r="AF39">
        <f t="shared" si="63"/>
        <v>14201.94</v>
      </c>
      <c r="AG39">
        <f t="shared" si="40"/>
        <v>0</v>
      </c>
      <c r="AH39">
        <f t="shared" si="64"/>
        <v>28.02</v>
      </c>
      <c r="AI39">
        <f t="shared" si="64"/>
        <v>0</v>
      </c>
      <c r="AJ39">
        <f t="shared" si="41"/>
        <v>0</v>
      </c>
      <c r="AK39">
        <v>14445.51</v>
      </c>
      <c r="AL39">
        <v>243.57</v>
      </c>
      <c r="AM39">
        <v>0</v>
      </c>
      <c r="AN39">
        <v>0</v>
      </c>
      <c r="AO39">
        <v>14201.94</v>
      </c>
      <c r="AP39">
        <v>0</v>
      </c>
      <c r="AQ39">
        <v>28.02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53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6500.48</v>
      </c>
      <c r="CQ39">
        <f t="shared" si="43"/>
        <v>243.57</v>
      </c>
      <c r="CR39">
        <f t="shared" si="65"/>
        <v>0</v>
      </c>
      <c r="CS39">
        <f t="shared" si="44"/>
        <v>0</v>
      </c>
      <c r="CT39">
        <f t="shared" si="45"/>
        <v>14201.94</v>
      </c>
      <c r="CU39">
        <f t="shared" si="46"/>
        <v>0</v>
      </c>
      <c r="CV39">
        <f t="shared" si="47"/>
        <v>28.02</v>
      </c>
      <c r="CW39">
        <f t="shared" si="48"/>
        <v>0</v>
      </c>
      <c r="CX39">
        <f t="shared" si="49"/>
        <v>0</v>
      </c>
      <c r="CY39">
        <f t="shared" si="50"/>
        <v>4473.6089999999995</v>
      </c>
      <c r="CZ39">
        <f t="shared" si="51"/>
        <v>639.08699999999999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31</v>
      </c>
      <c r="DW39" t="s">
        <v>31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0</v>
      </c>
      <c r="ER39">
        <v>14445.51</v>
      </c>
      <c r="ES39">
        <v>243.57</v>
      </c>
      <c r="ET39">
        <v>0</v>
      </c>
      <c r="EU39">
        <v>0</v>
      </c>
      <c r="EV39">
        <v>14201.94</v>
      </c>
      <c r="EW39">
        <v>28.02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1586733399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11613.18</v>
      </c>
      <c r="GN39">
        <f t="shared" si="55"/>
        <v>0</v>
      </c>
      <c r="GO39">
        <f t="shared" si="56"/>
        <v>0</v>
      </c>
      <c r="GP39">
        <f t="shared" si="57"/>
        <v>11613.18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ROW(EtalonRes!A19)</f>
        <v>19</v>
      </c>
      <c r="E40" t="s">
        <v>3</v>
      </c>
      <c r="F40" t="s">
        <v>54</v>
      </c>
      <c r="G40" t="s">
        <v>55</v>
      </c>
      <c r="H40" t="s">
        <v>39</v>
      </c>
      <c r="I40">
        <f>ROUND(15,9)</f>
        <v>15</v>
      </c>
      <c r="J40">
        <v>0</v>
      </c>
      <c r="K40">
        <f>ROUND(15,9)</f>
        <v>15</v>
      </c>
      <c r="O40">
        <f t="shared" si="28"/>
        <v>4816.2</v>
      </c>
      <c r="P40">
        <f t="shared" si="29"/>
        <v>0</v>
      </c>
      <c r="Q40">
        <f t="shared" si="30"/>
        <v>0</v>
      </c>
      <c r="R40">
        <f t="shared" si="31"/>
        <v>0</v>
      </c>
      <c r="S40">
        <f t="shared" si="32"/>
        <v>4816.2</v>
      </c>
      <c r="T40">
        <f t="shared" si="33"/>
        <v>0</v>
      </c>
      <c r="U40">
        <f t="shared" si="34"/>
        <v>7.8000000000000007</v>
      </c>
      <c r="V40">
        <f t="shared" si="35"/>
        <v>0</v>
      </c>
      <c r="W40">
        <f t="shared" si="36"/>
        <v>0</v>
      </c>
      <c r="X40">
        <f t="shared" si="37"/>
        <v>3371.34</v>
      </c>
      <c r="Y40">
        <f t="shared" si="38"/>
        <v>481.62</v>
      </c>
      <c r="AA40">
        <v>-1</v>
      </c>
      <c r="AB40">
        <f t="shared" si="39"/>
        <v>321.08</v>
      </c>
      <c r="AC40">
        <f>ROUND(((ES40*4)),6)</f>
        <v>0</v>
      </c>
      <c r="AD40">
        <f>ROUND(((((ET40*4))-((EU40*4)))+AE40),6)</f>
        <v>0</v>
      </c>
      <c r="AE40">
        <f>ROUND(((EU40*4)),6)</f>
        <v>0</v>
      </c>
      <c r="AF40">
        <f>ROUND(((EV40*4)),6)</f>
        <v>321.08</v>
      </c>
      <c r="AG40">
        <f t="shared" si="40"/>
        <v>0</v>
      </c>
      <c r="AH40">
        <f>((EW40*4))</f>
        <v>0.52</v>
      </c>
      <c r="AI40">
        <f>((EX40*4))</f>
        <v>0</v>
      </c>
      <c r="AJ40">
        <f t="shared" si="41"/>
        <v>0</v>
      </c>
      <c r="AK40">
        <v>80.27</v>
      </c>
      <c r="AL40">
        <v>0</v>
      </c>
      <c r="AM40">
        <v>0</v>
      </c>
      <c r="AN40">
        <v>0</v>
      </c>
      <c r="AO40">
        <v>80.27</v>
      </c>
      <c r="AP40">
        <v>0</v>
      </c>
      <c r="AQ40">
        <v>0.13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56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4816.2</v>
      </c>
      <c r="CQ40">
        <f t="shared" si="43"/>
        <v>0</v>
      </c>
      <c r="CR40">
        <f>(((((ET40*4))*BB40-((EU40*4))*BS40)+AE40*BS40)*AV40)</f>
        <v>0</v>
      </c>
      <c r="CS40">
        <f t="shared" si="44"/>
        <v>0</v>
      </c>
      <c r="CT40">
        <f t="shared" si="45"/>
        <v>321.08</v>
      </c>
      <c r="CU40">
        <f t="shared" si="46"/>
        <v>0</v>
      </c>
      <c r="CV40">
        <f t="shared" si="47"/>
        <v>0.52</v>
      </c>
      <c r="CW40">
        <f t="shared" si="48"/>
        <v>0</v>
      </c>
      <c r="CX40">
        <f t="shared" si="49"/>
        <v>0</v>
      </c>
      <c r="CY40">
        <f t="shared" si="50"/>
        <v>3371.34</v>
      </c>
      <c r="CZ40">
        <f t="shared" si="51"/>
        <v>481.62</v>
      </c>
      <c r="DC40" t="s">
        <v>3</v>
      </c>
      <c r="DD40" t="s">
        <v>57</v>
      </c>
      <c r="DE40" t="s">
        <v>57</v>
      </c>
      <c r="DF40" t="s">
        <v>57</v>
      </c>
      <c r="DG40" t="s">
        <v>57</v>
      </c>
      <c r="DH40" t="s">
        <v>3</v>
      </c>
      <c r="DI40" t="s">
        <v>57</v>
      </c>
      <c r="DJ40" t="s">
        <v>57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39</v>
      </c>
      <c r="DW40" t="s">
        <v>39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1024</v>
      </c>
      <c r="ER40">
        <v>80.27</v>
      </c>
      <c r="ES40">
        <v>0</v>
      </c>
      <c r="ET40">
        <v>0</v>
      </c>
      <c r="EU40">
        <v>0</v>
      </c>
      <c r="EV40">
        <v>80.27</v>
      </c>
      <c r="EW40">
        <v>0.13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1384570016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8669.16</v>
      </c>
      <c r="GN40">
        <f t="shared" si="55"/>
        <v>0</v>
      </c>
      <c r="GO40">
        <f t="shared" si="56"/>
        <v>0</v>
      </c>
      <c r="GP40">
        <f t="shared" si="57"/>
        <v>8669.16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ROW(EtalonRes!A23)</f>
        <v>23</v>
      </c>
      <c r="E41" t="s">
        <v>3</v>
      </c>
      <c r="F41" t="s">
        <v>58</v>
      </c>
      <c r="G41" t="s">
        <v>59</v>
      </c>
      <c r="H41" t="s">
        <v>60</v>
      </c>
      <c r="I41">
        <f>ROUND((6+8)*15*0.1/100,9)</f>
        <v>0.21</v>
      </c>
      <c r="J41">
        <v>0</v>
      </c>
      <c r="K41">
        <f>ROUND((6+8)*15*0.1/100,9)</f>
        <v>0.21</v>
      </c>
      <c r="O41">
        <f t="shared" si="28"/>
        <v>3550.56</v>
      </c>
      <c r="P41">
        <f t="shared" si="29"/>
        <v>572.92999999999995</v>
      </c>
      <c r="Q41">
        <f t="shared" si="30"/>
        <v>0</v>
      </c>
      <c r="R41">
        <f t="shared" si="31"/>
        <v>0</v>
      </c>
      <c r="S41">
        <f t="shared" si="32"/>
        <v>2977.63</v>
      </c>
      <c r="T41">
        <f t="shared" si="33"/>
        <v>0</v>
      </c>
      <c r="U41">
        <f t="shared" si="34"/>
        <v>6.2033999999999994</v>
      </c>
      <c r="V41">
        <f t="shared" si="35"/>
        <v>0</v>
      </c>
      <c r="W41">
        <f t="shared" si="36"/>
        <v>0</v>
      </c>
      <c r="X41">
        <f t="shared" si="37"/>
        <v>2084.34</v>
      </c>
      <c r="Y41">
        <f t="shared" si="38"/>
        <v>297.76</v>
      </c>
      <c r="AA41">
        <v>-1</v>
      </c>
      <c r="AB41">
        <f t="shared" si="39"/>
        <v>16907.419999999998</v>
      </c>
      <c r="AC41">
        <f>ROUND((ES41),6)</f>
        <v>2728.22</v>
      </c>
      <c r="AD41">
        <f>ROUND((((ET41)-(EU41))+AE41),6)</f>
        <v>0</v>
      </c>
      <c r="AE41">
        <f>ROUND((EU41),6)</f>
        <v>0</v>
      </c>
      <c r="AF41">
        <f>ROUND((EV41),6)</f>
        <v>14179.2</v>
      </c>
      <c r="AG41">
        <f t="shared" si="40"/>
        <v>0</v>
      </c>
      <c r="AH41">
        <f>(EW41)</f>
        <v>29.54</v>
      </c>
      <c r="AI41">
        <f>(EX41)</f>
        <v>0</v>
      </c>
      <c r="AJ41">
        <f t="shared" si="41"/>
        <v>0</v>
      </c>
      <c r="AK41">
        <v>16907.419999999998</v>
      </c>
      <c r="AL41">
        <v>2728.22</v>
      </c>
      <c r="AM41">
        <v>0</v>
      </c>
      <c r="AN41">
        <v>0</v>
      </c>
      <c r="AO41">
        <v>14179.2</v>
      </c>
      <c r="AP41">
        <v>0</v>
      </c>
      <c r="AQ41">
        <v>29.54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61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3550.56</v>
      </c>
      <c r="CQ41">
        <f t="shared" si="43"/>
        <v>2728.22</v>
      </c>
      <c r="CR41">
        <f>((((ET41)*BB41-(EU41)*BS41)+AE41*BS41)*AV41)</f>
        <v>0</v>
      </c>
      <c r="CS41">
        <f t="shared" si="44"/>
        <v>0</v>
      </c>
      <c r="CT41">
        <f t="shared" si="45"/>
        <v>14179.2</v>
      </c>
      <c r="CU41">
        <f t="shared" si="46"/>
        <v>0</v>
      </c>
      <c r="CV41">
        <f t="shared" si="47"/>
        <v>29.54</v>
      </c>
      <c r="CW41">
        <f t="shared" si="48"/>
        <v>0</v>
      </c>
      <c r="CX41">
        <f t="shared" si="49"/>
        <v>0</v>
      </c>
      <c r="CY41">
        <f t="shared" si="50"/>
        <v>2084.3409999999999</v>
      </c>
      <c r="CZ41">
        <f t="shared" si="51"/>
        <v>297.76300000000003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60</v>
      </c>
      <c r="DW41" t="s">
        <v>60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1311744</v>
      </c>
      <c r="ER41">
        <v>16907.419999999998</v>
      </c>
      <c r="ES41">
        <v>2728.22</v>
      </c>
      <c r="ET41">
        <v>0</v>
      </c>
      <c r="EU41">
        <v>0</v>
      </c>
      <c r="EV41">
        <v>14179.2</v>
      </c>
      <c r="EW41">
        <v>29.54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-317825441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5932.66</v>
      </c>
      <c r="GN41">
        <f t="shared" si="55"/>
        <v>0</v>
      </c>
      <c r="GO41">
        <f t="shared" si="56"/>
        <v>0</v>
      </c>
      <c r="GP41">
        <f t="shared" si="57"/>
        <v>5932.66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ROW(EtalonRes!A24)</f>
        <v>24</v>
      </c>
      <c r="E42" t="s">
        <v>62</v>
      </c>
      <c r="F42" t="s">
        <v>63</v>
      </c>
      <c r="G42" t="s">
        <v>64</v>
      </c>
      <c r="H42" t="s">
        <v>18</v>
      </c>
      <c r="I42">
        <f>ROUND(15/10,9)</f>
        <v>1.5</v>
      </c>
      <c r="J42">
        <v>0</v>
      </c>
      <c r="K42">
        <f>ROUND(15/10,9)</f>
        <v>1.5</v>
      </c>
      <c r="O42">
        <f t="shared" si="28"/>
        <v>1889.52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1889.52</v>
      </c>
      <c r="T42">
        <f t="shared" si="33"/>
        <v>0</v>
      </c>
      <c r="U42">
        <f t="shared" si="34"/>
        <v>3.06</v>
      </c>
      <c r="V42">
        <f t="shared" si="35"/>
        <v>0</v>
      </c>
      <c r="W42">
        <f t="shared" si="36"/>
        <v>0</v>
      </c>
      <c r="X42">
        <f t="shared" si="37"/>
        <v>1322.66</v>
      </c>
      <c r="Y42">
        <f t="shared" si="38"/>
        <v>188.95</v>
      </c>
      <c r="AA42">
        <v>1471531721</v>
      </c>
      <c r="AB42">
        <f t="shared" si="39"/>
        <v>1259.68</v>
      </c>
      <c r="AC42">
        <f>ROUND((ES42),6)</f>
        <v>0</v>
      </c>
      <c r="AD42">
        <f>ROUND((((ET42)-(EU42))+AE42),6)</f>
        <v>0</v>
      </c>
      <c r="AE42">
        <f>ROUND((EU42),6)</f>
        <v>0</v>
      </c>
      <c r="AF42">
        <f>ROUND((EV42),6)</f>
        <v>1259.68</v>
      </c>
      <c r="AG42">
        <f t="shared" si="40"/>
        <v>0</v>
      </c>
      <c r="AH42">
        <f>(EW42)</f>
        <v>2.04</v>
      </c>
      <c r="AI42">
        <f>(EX42)</f>
        <v>0</v>
      </c>
      <c r="AJ42">
        <f t="shared" si="41"/>
        <v>0</v>
      </c>
      <c r="AK42">
        <v>1259.68</v>
      </c>
      <c r="AL42">
        <v>0</v>
      </c>
      <c r="AM42">
        <v>0</v>
      </c>
      <c r="AN42">
        <v>0</v>
      </c>
      <c r="AO42">
        <v>1259.68</v>
      </c>
      <c r="AP42">
        <v>0</v>
      </c>
      <c r="AQ42">
        <v>2.04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65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1889.52</v>
      </c>
      <c r="CQ42">
        <f t="shared" si="43"/>
        <v>0</v>
      </c>
      <c r="CR42">
        <f>((((ET42)*BB42-(EU42)*BS42)+AE42*BS42)*AV42)</f>
        <v>0</v>
      </c>
      <c r="CS42">
        <f t="shared" si="44"/>
        <v>0</v>
      </c>
      <c r="CT42">
        <f t="shared" si="45"/>
        <v>1259.68</v>
      </c>
      <c r="CU42">
        <f t="shared" si="46"/>
        <v>0</v>
      </c>
      <c r="CV42">
        <f t="shared" si="47"/>
        <v>2.04</v>
      </c>
      <c r="CW42">
        <f t="shared" si="48"/>
        <v>0</v>
      </c>
      <c r="CX42">
        <f t="shared" si="49"/>
        <v>0</v>
      </c>
      <c r="CY42">
        <f t="shared" si="50"/>
        <v>1322.664</v>
      </c>
      <c r="CZ42">
        <f t="shared" si="51"/>
        <v>188.952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18</v>
      </c>
      <c r="DW42" t="s">
        <v>18</v>
      </c>
      <c r="DX42">
        <v>10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21</v>
      </c>
      <c r="EH42">
        <v>0</v>
      </c>
      <c r="EI42" t="s">
        <v>3</v>
      </c>
      <c r="EJ42">
        <v>4</v>
      </c>
      <c r="EK42">
        <v>0</v>
      </c>
      <c r="EL42" t="s">
        <v>22</v>
      </c>
      <c r="EM42" t="s">
        <v>23</v>
      </c>
      <c r="EO42" t="s">
        <v>3</v>
      </c>
      <c r="EQ42">
        <v>0</v>
      </c>
      <c r="ER42">
        <v>1259.68</v>
      </c>
      <c r="ES42">
        <v>0</v>
      </c>
      <c r="ET42">
        <v>0</v>
      </c>
      <c r="EU42">
        <v>0</v>
      </c>
      <c r="EV42">
        <v>1259.68</v>
      </c>
      <c r="EW42">
        <v>2.04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-675599503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3401.13</v>
      </c>
      <c r="GN42">
        <f t="shared" si="55"/>
        <v>0</v>
      </c>
      <c r="GO42">
        <f t="shared" si="56"/>
        <v>0</v>
      </c>
      <c r="GP42">
        <f t="shared" si="57"/>
        <v>3401.13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D43">
        <f>ROW(EtalonRes!A25)</f>
        <v>25</v>
      </c>
      <c r="E43" t="s">
        <v>3</v>
      </c>
      <c r="F43" t="s">
        <v>66</v>
      </c>
      <c r="G43" t="s">
        <v>67</v>
      </c>
      <c r="H43" t="s">
        <v>60</v>
      </c>
      <c r="I43">
        <f>ROUND(ROUND(((320+322+80+80)*0.25)*3/100,9),9)</f>
        <v>6.0149999999999997</v>
      </c>
      <c r="J43">
        <v>0</v>
      </c>
      <c r="K43">
        <f>ROUND(ROUND(((320+322+80+80)*0.25)*3/100,9),9)</f>
        <v>6.0149999999999997</v>
      </c>
      <c r="O43">
        <f t="shared" si="28"/>
        <v>24346.31</v>
      </c>
      <c r="P43">
        <f t="shared" si="29"/>
        <v>0</v>
      </c>
      <c r="Q43">
        <f t="shared" si="30"/>
        <v>0</v>
      </c>
      <c r="R43">
        <f t="shared" si="31"/>
        <v>0</v>
      </c>
      <c r="S43">
        <f t="shared" si="32"/>
        <v>24346.31</v>
      </c>
      <c r="T43">
        <f t="shared" si="33"/>
        <v>0</v>
      </c>
      <c r="U43">
        <f t="shared" si="34"/>
        <v>43.308</v>
      </c>
      <c r="V43">
        <f t="shared" si="35"/>
        <v>0</v>
      </c>
      <c r="W43">
        <f t="shared" si="36"/>
        <v>0</v>
      </c>
      <c r="X43">
        <f t="shared" si="37"/>
        <v>17042.419999999998</v>
      </c>
      <c r="Y43">
        <f t="shared" si="38"/>
        <v>2434.63</v>
      </c>
      <c r="AA43">
        <v>-1</v>
      </c>
      <c r="AB43">
        <f t="shared" si="39"/>
        <v>4047.6</v>
      </c>
      <c r="AC43">
        <f>ROUND(((ES43*8)),6)</f>
        <v>0</v>
      </c>
      <c r="AD43">
        <f>ROUND(((((ET43*8))-((EU43*8)))+AE43),6)</f>
        <v>0</v>
      </c>
      <c r="AE43">
        <f>ROUND(((EU43*8)),6)</f>
        <v>0</v>
      </c>
      <c r="AF43">
        <f>ROUND(((EV43*8)),6)</f>
        <v>4047.6</v>
      </c>
      <c r="AG43">
        <f t="shared" si="40"/>
        <v>0</v>
      </c>
      <c r="AH43">
        <f>((EW43*8))</f>
        <v>7.2</v>
      </c>
      <c r="AI43">
        <f>((EX43*8))</f>
        <v>0</v>
      </c>
      <c r="AJ43">
        <f t="shared" si="41"/>
        <v>0</v>
      </c>
      <c r="AK43">
        <v>505.95</v>
      </c>
      <c r="AL43">
        <v>0</v>
      </c>
      <c r="AM43">
        <v>0</v>
      </c>
      <c r="AN43">
        <v>0</v>
      </c>
      <c r="AO43">
        <v>505.95</v>
      </c>
      <c r="AP43">
        <v>0</v>
      </c>
      <c r="AQ43">
        <v>0.9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68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24346.31</v>
      </c>
      <c r="CQ43">
        <f t="shared" si="43"/>
        <v>0</v>
      </c>
      <c r="CR43">
        <f>(((((ET43*8))*BB43-((EU43*8))*BS43)+AE43*BS43)*AV43)</f>
        <v>0</v>
      </c>
      <c r="CS43">
        <f t="shared" si="44"/>
        <v>0</v>
      </c>
      <c r="CT43">
        <f t="shared" si="45"/>
        <v>4047.6</v>
      </c>
      <c r="CU43">
        <f t="shared" si="46"/>
        <v>0</v>
      </c>
      <c r="CV43">
        <f t="shared" si="47"/>
        <v>7.2</v>
      </c>
      <c r="CW43">
        <f t="shared" si="48"/>
        <v>0</v>
      </c>
      <c r="CX43">
        <f t="shared" si="49"/>
        <v>0</v>
      </c>
      <c r="CY43">
        <f t="shared" si="50"/>
        <v>17042.417000000001</v>
      </c>
      <c r="CZ43">
        <f t="shared" si="51"/>
        <v>2434.6309999999999</v>
      </c>
      <c r="DC43" t="s">
        <v>3</v>
      </c>
      <c r="DD43" t="s">
        <v>69</v>
      </c>
      <c r="DE43" t="s">
        <v>69</v>
      </c>
      <c r="DF43" t="s">
        <v>69</v>
      </c>
      <c r="DG43" t="s">
        <v>69</v>
      </c>
      <c r="DH43" t="s">
        <v>3</v>
      </c>
      <c r="DI43" t="s">
        <v>69</v>
      </c>
      <c r="DJ43" t="s">
        <v>69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60</v>
      </c>
      <c r="DW43" t="s">
        <v>60</v>
      </c>
      <c r="DX43">
        <v>100</v>
      </c>
      <c r="DZ43" t="s">
        <v>3</v>
      </c>
      <c r="EA43" t="s">
        <v>3</v>
      </c>
      <c r="EB43" t="s">
        <v>3</v>
      </c>
      <c r="EC43" t="s">
        <v>3</v>
      </c>
      <c r="EE43">
        <v>1441815344</v>
      </c>
      <c r="EF43">
        <v>1</v>
      </c>
      <c r="EG43" t="s">
        <v>21</v>
      </c>
      <c r="EH43">
        <v>0</v>
      </c>
      <c r="EI43" t="s">
        <v>3</v>
      </c>
      <c r="EJ43">
        <v>4</v>
      </c>
      <c r="EK43">
        <v>0</v>
      </c>
      <c r="EL43" t="s">
        <v>22</v>
      </c>
      <c r="EM43" t="s">
        <v>23</v>
      </c>
      <c r="EO43" t="s">
        <v>3</v>
      </c>
      <c r="EQ43">
        <v>1024</v>
      </c>
      <c r="ER43">
        <v>505.95</v>
      </c>
      <c r="ES43">
        <v>0</v>
      </c>
      <c r="ET43">
        <v>0</v>
      </c>
      <c r="EU43">
        <v>0</v>
      </c>
      <c r="EV43">
        <v>505.95</v>
      </c>
      <c r="EW43">
        <v>0.9</v>
      </c>
      <c r="EX43">
        <v>0</v>
      </c>
      <c r="EY43">
        <v>0</v>
      </c>
      <c r="FQ43">
        <v>0</v>
      </c>
      <c r="FR43">
        <f t="shared" si="52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-341239612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43823.360000000001</v>
      </c>
      <c r="GN43">
        <f t="shared" si="55"/>
        <v>0</v>
      </c>
      <c r="GO43">
        <f t="shared" si="56"/>
        <v>0</v>
      </c>
      <c r="GP43">
        <f t="shared" si="57"/>
        <v>43823.360000000001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D44">
        <f>ROW(EtalonRes!A26)</f>
        <v>26</v>
      </c>
      <c r="E44" t="s">
        <v>3</v>
      </c>
      <c r="F44" t="s">
        <v>70</v>
      </c>
      <c r="G44" t="s">
        <v>71</v>
      </c>
      <c r="H44" t="s">
        <v>60</v>
      </c>
      <c r="I44">
        <f>ROUND(ROUND(((320+322+80+80)*0.75)*3/100,9),9)</f>
        <v>18.045000000000002</v>
      </c>
      <c r="J44">
        <v>0</v>
      </c>
      <c r="K44">
        <f>ROUND(ROUND(((320+322+80+80)*0.75)*3/100,9),9)</f>
        <v>18.045000000000002</v>
      </c>
      <c r="O44">
        <f t="shared" si="28"/>
        <v>392790.57</v>
      </c>
      <c r="P44">
        <f t="shared" si="29"/>
        <v>0</v>
      </c>
      <c r="Q44">
        <f t="shared" si="30"/>
        <v>0</v>
      </c>
      <c r="R44">
        <f t="shared" si="31"/>
        <v>0</v>
      </c>
      <c r="S44">
        <f t="shared" si="32"/>
        <v>392790.57</v>
      </c>
      <c r="T44">
        <f t="shared" si="33"/>
        <v>0</v>
      </c>
      <c r="U44">
        <f t="shared" si="34"/>
        <v>698.70240000000001</v>
      </c>
      <c r="V44">
        <f t="shared" si="35"/>
        <v>0</v>
      </c>
      <c r="W44">
        <f t="shared" si="36"/>
        <v>0</v>
      </c>
      <c r="X44">
        <f t="shared" si="37"/>
        <v>274953.40000000002</v>
      </c>
      <c r="Y44">
        <f t="shared" si="38"/>
        <v>39279.06</v>
      </c>
      <c r="AA44">
        <v>-1</v>
      </c>
      <c r="AB44">
        <f t="shared" si="39"/>
        <v>21767.279999999999</v>
      </c>
      <c r="AC44">
        <f>ROUND(((ES44*8)),6)</f>
        <v>0</v>
      </c>
      <c r="AD44">
        <f>ROUND(((((ET44*8))-((EU44*8)))+AE44),6)</f>
        <v>0</v>
      </c>
      <c r="AE44">
        <f>ROUND(((EU44*8)),6)</f>
        <v>0</v>
      </c>
      <c r="AF44">
        <f>ROUND(((EV44*8)),6)</f>
        <v>21767.279999999999</v>
      </c>
      <c r="AG44">
        <f t="shared" si="40"/>
        <v>0</v>
      </c>
      <c r="AH44">
        <f>((EW44*8))</f>
        <v>38.72</v>
      </c>
      <c r="AI44">
        <f>((EX44*8))</f>
        <v>0</v>
      </c>
      <c r="AJ44">
        <f t="shared" si="41"/>
        <v>0</v>
      </c>
      <c r="AK44">
        <v>2720.91</v>
      </c>
      <c r="AL44">
        <v>0</v>
      </c>
      <c r="AM44">
        <v>0</v>
      </c>
      <c r="AN44">
        <v>0</v>
      </c>
      <c r="AO44">
        <v>2720.91</v>
      </c>
      <c r="AP44">
        <v>0</v>
      </c>
      <c r="AQ44">
        <v>4.84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72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392790.57</v>
      </c>
      <c r="CQ44">
        <f t="shared" si="43"/>
        <v>0</v>
      </c>
      <c r="CR44">
        <f>(((((ET44*8))*BB44-((EU44*8))*BS44)+AE44*BS44)*AV44)</f>
        <v>0</v>
      </c>
      <c r="CS44">
        <f t="shared" si="44"/>
        <v>0</v>
      </c>
      <c r="CT44">
        <f t="shared" si="45"/>
        <v>21767.279999999999</v>
      </c>
      <c r="CU44">
        <f t="shared" si="46"/>
        <v>0</v>
      </c>
      <c r="CV44">
        <f t="shared" si="47"/>
        <v>38.72</v>
      </c>
      <c r="CW44">
        <f t="shared" si="48"/>
        <v>0</v>
      </c>
      <c r="CX44">
        <f t="shared" si="49"/>
        <v>0</v>
      </c>
      <c r="CY44">
        <f t="shared" si="50"/>
        <v>274953.39900000003</v>
      </c>
      <c r="CZ44">
        <f t="shared" si="51"/>
        <v>39279.057000000001</v>
      </c>
      <c r="DC44" t="s">
        <v>3</v>
      </c>
      <c r="DD44" t="s">
        <v>69</v>
      </c>
      <c r="DE44" t="s">
        <v>69</v>
      </c>
      <c r="DF44" t="s">
        <v>69</v>
      </c>
      <c r="DG44" t="s">
        <v>69</v>
      </c>
      <c r="DH44" t="s">
        <v>3</v>
      </c>
      <c r="DI44" t="s">
        <v>69</v>
      </c>
      <c r="DJ44" t="s">
        <v>69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60</v>
      </c>
      <c r="DW44" t="s">
        <v>60</v>
      </c>
      <c r="DX44">
        <v>100</v>
      </c>
      <c r="DZ44" t="s">
        <v>3</v>
      </c>
      <c r="EA44" t="s">
        <v>3</v>
      </c>
      <c r="EB44" t="s">
        <v>3</v>
      </c>
      <c r="EC44" t="s">
        <v>3</v>
      </c>
      <c r="EE44">
        <v>1441815344</v>
      </c>
      <c r="EF44">
        <v>1</v>
      </c>
      <c r="EG44" t="s">
        <v>21</v>
      </c>
      <c r="EH44">
        <v>0</v>
      </c>
      <c r="EI44" t="s">
        <v>3</v>
      </c>
      <c r="EJ44">
        <v>4</v>
      </c>
      <c r="EK44">
        <v>0</v>
      </c>
      <c r="EL44" t="s">
        <v>22</v>
      </c>
      <c r="EM44" t="s">
        <v>23</v>
      </c>
      <c r="EO44" t="s">
        <v>3</v>
      </c>
      <c r="EQ44">
        <v>1024</v>
      </c>
      <c r="ER44">
        <v>2720.91</v>
      </c>
      <c r="ES44">
        <v>0</v>
      </c>
      <c r="ET44">
        <v>0</v>
      </c>
      <c r="EU44">
        <v>0</v>
      </c>
      <c r="EV44">
        <v>2720.91</v>
      </c>
      <c r="EW44">
        <v>4.84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-1706933960</v>
      </c>
      <c r="GG44">
        <v>2</v>
      </c>
      <c r="GH44">
        <v>1</v>
      </c>
      <c r="GI44">
        <v>-2</v>
      </c>
      <c r="GJ44">
        <v>0</v>
      </c>
      <c r="GK44">
        <f>ROUND(R44*(R12)/100,2)</f>
        <v>0</v>
      </c>
      <c r="GL44">
        <f t="shared" si="53"/>
        <v>0</v>
      </c>
      <c r="GM44">
        <f t="shared" si="54"/>
        <v>707023.03</v>
      </c>
      <c r="GN44">
        <f t="shared" si="55"/>
        <v>0</v>
      </c>
      <c r="GO44">
        <f t="shared" si="56"/>
        <v>0</v>
      </c>
      <c r="GP44">
        <f t="shared" si="57"/>
        <v>707023.03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D45">
        <f>ROW(EtalonRes!A28)</f>
        <v>28</v>
      </c>
      <c r="E45" t="s">
        <v>73</v>
      </c>
      <c r="F45" t="s">
        <v>42</v>
      </c>
      <c r="G45" t="s">
        <v>74</v>
      </c>
      <c r="H45" t="s">
        <v>39</v>
      </c>
      <c r="I45">
        <f>ROUND(3*15,9)</f>
        <v>45</v>
      </c>
      <c r="J45">
        <v>0</v>
      </c>
      <c r="K45">
        <f>ROUND(3*15,9)</f>
        <v>45</v>
      </c>
      <c r="O45">
        <f t="shared" si="28"/>
        <v>12878.1</v>
      </c>
      <c r="P45">
        <f t="shared" si="29"/>
        <v>0</v>
      </c>
      <c r="Q45">
        <f t="shared" si="30"/>
        <v>3518.1</v>
      </c>
      <c r="R45">
        <f t="shared" si="31"/>
        <v>2230.65</v>
      </c>
      <c r="S45">
        <f t="shared" si="32"/>
        <v>9360</v>
      </c>
      <c r="T45">
        <f t="shared" si="33"/>
        <v>0</v>
      </c>
      <c r="U45">
        <f t="shared" si="34"/>
        <v>16.649999999999999</v>
      </c>
      <c r="V45">
        <f t="shared" si="35"/>
        <v>0</v>
      </c>
      <c r="W45">
        <f t="shared" si="36"/>
        <v>0</v>
      </c>
      <c r="X45">
        <f t="shared" si="37"/>
        <v>6552</v>
      </c>
      <c r="Y45">
        <f t="shared" si="38"/>
        <v>936</v>
      </c>
      <c r="AA45">
        <v>1471531721</v>
      </c>
      <c r="AB45">
        <f t="shared" si="39"/>
        <v>286.18</v>
      </c>
      <c r="AC45">
        <f>ROUND((ES45),6)</f>
        <v>0</v>
      </c>
      <c r="AD45">
        <f>ROUND((((ET45)-(EU45))+AE45),6)</f>
        <v>78.180000000000007</v>
      </c>
      <c r="AE45">
        <f>ROUND((EU45),6)</f>
        <v>49.57</v>
      </c>
      <c r="AF45">
        <f>ROUND((EV45),6)</f>
        <v>208</v>
      </c>
      <c r="AG45">
        <f t="shared" si="40"/>
        <v>0</v>
      </c>
      <c r="AH45">
        <f>(EW45)</f>
        <v>0.37</v>
      </c>
      <c r="AI45">
        <f>(EX45)</f>
        <v>0</v>
      </c>
      <c r="AJ45">
        <f t="shared" si="41"/>
        <v>0</v>
      </c>
      <c r="AK45">
        <v>286.18</v>
      </c>
      <c r="AL45">
        <v>0</v>
      </c>
      <c r="AM45">
        <v>78.180000000000007</v>
      </c>
      <c r="AN45">
        <v>49.57</v>
      </c>
      <c r="AO45">
        <v>208</v>
      </c>
      <c r="AP45">
        <v>0</v>
      </c>
      <c r="AQ45">
        <v>0.37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44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12878.1</v>
      </c>
      <c r="CQ45">
        <f t="shared" si="43"/>
        <v>0</v>
      </c>
      <c r="CR45">
        <f>((((ET45)*BB45-(EU45)*BS45)+AE45*BS45)*AV45)</f>
        <v>78.180000000000007</v>
      </c>
      <c r="CS45">
        <f t="shared" si="44"/>
        <v>49.57</v>
      </c>
      <c r="CT45">
        <f t="shared" si="45"/>
        <v>208</v>
      </c>
      <c r="CU45">
        <f t="shared" si="46"/>
        <v>0</v>
      </c>
      <c r="CV45">
        <f t="shared" si="47"/>
        <v>0.37</v>
      </c>
      <c r="CW45">
        <f t="shared" si="48"/>
        <v>0</v>
      </c>
      <c r="CX45">
        <f t="shared" si="49"/>
        <v>0</v>
      </c>
      <c r="CY45">
        <f t="shared" si="50"/>
        <v>6552</v>
      </c>
      <c r="CZ45">
        <f t="shared" si="51"/>
        <v>936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16987630</v>
      </c>
      <c r="DV45" t="s">
        <v>39</v>
      </c>
      <c r="DW45" t="s">
        <v>39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1441815344</v>
      </c>
      <c r="EF45">
        <v>1</v>
      </c>
      <c r="EG45" t="s">
        <v>21</v>
      </c>
      <c r="EH45">
        <v>0</v>
      </c>
      <c r="EI45" t="s">
        <v>3</v>
      </c>
      <c r="EJ45">
        <v>4</v>
      </c>
      <c r="EK45">
        <v>0</v>
      </c>
      <c r="EL45" t="s">
        <v>22</v>
      </c>
      <c r="EM45" t="s">
        <v>23</v>
      </c>
      <c r="EO45" t="s">
        <v>3</v>
      </c>
      <c r="EQ45">
        <v>0</v>
      </c>
      <c r="ER45">
        <v>286.18</v>
      </c>
      <c r="ES45">
        <v>0</v>
      </c>
      <c r="ET45">
        <v>78.180000000000007</v>
      </c>
      <c r="EU45">
        <v>49.57</v>
      </c>
      <c r="EV45">
        <v>208</v>
      </c>
      <c r="EW45">
        <v>0.37</v>
      </c>
      <c r="EX45">
        <v>0</v>
      </c>
      <c r="EY45">
        <v>0</v>
      </c>
      <c r="FQ45">
        <v>0</v>
      </c>
      <c r="FR45">
        <f t="shared" si="52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139218651</v>
      </c>
      <c r="GG45">
        <v>2</v>
      </c>
      <c r="GH45">
        <v>1</v>
      </c>
      <c r="GI45">
        <v>-2</v>
      </c>
      <c r="GJ45">
        <v>0</v>
      </c>
      <c r="GK45">
        <f>ROUND(R45*(R12)/100,2)</f>
        <v>2409.1</v>
      </c>
      <c r="GL45">
        <f t="shared" si="53"/>
        <v>0</v>
      </c>
      <c r="GM45">
        <f t="shared" si="54"/>
        <v>22775.200000000001</v>
      </c>
      <c r="GN45">
        <f t="shared" si="55"/>
        <v>0</v>
      </c>
      <c r="GO45">
        <f t="shared" si="56"/>
        <v>0</v>
      </c>
      <c r="GP45">
        <f t="shared" si="57"/>
        <v>22775.200000000001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D46">
        <f>ROW(EtalonRes!A29)</f>
        <v>29</v>
      </c>
      <c r="E46" t="s">
        <v>75</v>
      </c>
      <c r="F46" t="s">
        <v>76</v>
      </c>
      <c r="G46" t="s">
        <v>77</v>
      </c>
      <c r="H46" t="s">
        <v>18</v>
      </c>
      <c r="I46">
        <f>ROUND(15/10,9)</f>
        <v>1.5</v>
      </c>
      <c r="J46">
        <v>0</v>
      </c>
      <c r="K46">
        <f>ROUND(15/10,9)</f>
        <v>1.5</v>
      </c>
      <c r="O46">
        <f t="shared" si="28"/>
        <v>565.01</v>
      </c>
      <c r="P46">
        <f t="shared" si="29"/>
        <v>0</v>
      </c>
      <c r="Q46">
        <f t="shared" si="30"/>
        <v>0</v>
      </c>
      <c r="R46">
        <f t="shared" si="31"/>
        <v>0</v>
      </c>
      <c r="S46">
        <f t="shared" si="32"/>
        <v>565.01</v>
      </c>
      <c r="T46">
        <f t="shared" si="33"/>
        <v>0</v>
      </c>
      <c r="U46">
        <f t="shared" si="34"/>
        <v>0.91500000000000004</v>
      </c>
      <c r="V46">
        <f t="shared" si="35"/>
        <v>0</v>
      </c>
      <c r="W46">
        <f t="shared" si="36"/>
        <v>0</v>
      </c>
      <c r="X46">
        <f t="shared" si="37"/>
        <v>395.51</v>
      </c>
      <c r="Y46">
        <f t="shared" si="38"/>
        <v>56.5</v>
      </c>
      <c r="AA46">
        <v>1471531721</v>
      </c>
      <c r="AB46">
        <f t="shared" si="39"/>
        <v>376.67</v>
      </c>
      <c r="AC46">
        <f>ROUND((ES46),6)</f>
        <v>0</v>
      </c>
      <c r="AD46">
        <f>ROUND((((ET46)-(EU46))+AE46),6)</f>
        <v>0</v>
      </c>
      <c r="AE46">
        <f>ROUND((EU46),6)</f>
        <v>0</v>
      </c>
      <c r="AF46">
        <f>ROUND((EV46),6)</f>
        <v>376.67</v>
      </c>
      <c r="AG46">
        <f t="shared" si="40"/>
        <v>0</v>
      </c>
      <c r="AH46">
        <f>(EW46)</f>
        <v>0.61</v>
      </c>
      <c r="AI46">
        <f>(EX46)</f>
        <v>0</v>
      </c>
      <c r="AJ46">
        <f t="shared" si="41"/>
        <v>0</v>
      </c>
      <c r="AK46">
        <v>376.67</v>
      </c>
      <c r="AL46">
        <v>0</v>
      </c>
      <c r="AM46">
        <v>0</v>
      </c>
      <c r="AN46">
        <v>0</v>
      </c>
      <c r="AO46">
        <v>376.67</v>
      </c>
      <c r="AP46">
        <v>0</v>
      </c>
      <c r="AQ46">
        <v>0.61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78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2"/>
        <v>565.01</v>
      </c>
      <c r="CQ46">
        <f t="shared" si="43"/>
        <v>0</v>
      </c>
      <c r="CR46">
        <f>((((ET46)*BB46-(EU46)*BS46)+AE46*BS46)*AV46)</f>
        <v>0</v>
      </c>
      <c r="CS46">
        <f t="shared" si="44"/>
        <v>0</v>
      </c>
      <c r="CT46">
        <f t="shared" si="45"/>
        <v>376.67</v>
      </c>
      <c r="CU46">
        <f t="shared" si="46"/>
        <v>0</v>
      </c>
      <c r="CV46">
        <f t="shared" si="47"/>
        <v>0.61</v>
      </c>
      <c r="CW46">
        <f t="shared" si="48"/>
        <v>0</v>
      </c>
      <c r="CX46">
        <f t="shared" si="49"/>
        <v>0</v>
      </c>
      <c r="CY46">
        <f t="shared" si="50"/>
        <v>395.50699999999995</v>
      </c>
      <c r="CZ46">
        <f t="shared" si="51"/>
        <v>56.501000000000005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16987630</v>
      </c>
      <c r="DV46" t="s">
        <v>18</v>
      </c>
      <c r="DW46" t="s">
        <v>18</v>
      </c>
      <c r="DX46">
        <v>10</v>
      </c>
      <c r="DZ46" t="s">
        <v>3</v>
      </c>
      <c r="EA46" t="s">
        <v>3</v>
      </c>
      <c r="EB46" t="s">
        <v>3</v>
      </c>
      <c r="EC46" t="s">
        <v>3</v>
      </c>
      <c r="EE46">
        <v>1441815344</v>
      </c>
      <c r="EF46">
        <v>1</v>
      </c>
      <c r="EG46" t="s">
        <v>21</v>
      </c>
      <c r="EH46">
        <v>0</v>
      </c>
      <c r="EI46" t="s">
        <v>3</v>
      </c>
      <c r="EJ46">
        <v>4</v>
      </c>
      <c r="EK46">
        <v>0</v>
      </c>
      <c r="EL46" t="s">
        <v>22</v>
      </c>
      <c r="EM46" t="s">
        <v>23</v>
      </c>
      <c r="EO46" t="s">
        <v>3</v>
      </c>
      <c r="EQ46">
        <v>0</v>
      </c>
      <c r="ER46">
        <v>376.67</v>
      </c>
      <c r="ES46">
        <v>0</v>
      </c>
      <c r="ET46">
        <v>0</v>
      </c>
      <c r="EU46">
        <v>0</v>
      </c>
      <c r="EV46">
        <v>376.67</v>
      </c>
      <c r="EW46">
        <v>0.61</v>
      </c>
      <c r="EX46">
        <v>0</v>
      </c>
      <c r="EY46">
        <v>0</v>
      </c>
      <c r="FQ46">
        <v>0</v>
      </c>
      <c r="FR46">
        <f t="shared" si="52"/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357408898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3"/>
        <v>0</v>
      </c>
      <c r="GM46">
        <f t="shared" si="54"/>
        <v>1017.02</v>
      </c>
      <c r="GN46">
        <f t="shared" si="55"/>
        <v>0</v>
      </c>
      <c r="GO46">
        <f t="shared" si="56"/>
        <v>0</v>
      </c>
      <c r="GP46">
        <f t="shared" si="57"/>
        <v>1017.02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D47">
        <f>ROW(EtalonRes!A32)</f>
        <v>32</v>
      </c>
      <c r="E47" t="s">
        <v>3</v>
      </c>
      <c r="F47" t="s">
        <v>79</v>
      </c>
      <c r="G47" t="s">
        <v>80</v>
      </c>
      <c r="H47" t="s">
        <v>31</v>
      </c>
      <c r="I47">
        <f>ROUND(39/100,9)</f>
        <v>0.39</v>
      </c>
      <c r="J47">
        <v>0</v>
      </c>
      <c r="K47">
        <f>ROUND(39/100,9)</f>
        <v>0.39</v>
      </c>
      <c r="O47">
        <f t="shared" si="28"/>
        <v>437939.09</v>
      </c>
      <c r="P47">
        <f t="shared" si="29"/>
        <v>5375.64</v>
      </c>
      <c r="Q47">
        <f t="shared" si="30"/>
        <v>0</v>
      </c>
      <c r="R47">
        <f t="shared" si="31"/>
        <v>0</v>
      </c>
      <c r="S47">
        <f t="shared" si="32"/>
        <v>432563.45</v>
      </c>
      <c r="T47">
        <f t="shared" si="33"/>
        <v>0</v>
      </c>
      <c r="U47">
        <f t="shared" si="34"/>
        <v>1328.145</v>
      </c>
      <c r="V47">
        <f t="shared" si="35"/>
        <v>0</v>
      </c>
      <c r="W47">
        <f t="shared" si="36"/>
        <v>0</v>
      </c>
      <c r="X47">
        <f t="shared" si="37"/>
        <v>302794.42</v>
      </c>
      <c r="Y47">
        <f t="shared" si="38"/>
        <v>43256.35</v>
      </c>
      <c r="AA47">
        <v>-1</v>
      </c>
      <c r="AB47">
        <f t="shared" si="39"/>
        <v>1122920.75</v>
      </c>
      <c r="AC47">
        <f>ROUND(((ES47*245)),6)</f>
        <v>13783.7</v>
      </c>
      <c r="AD47">
        <f>ROUND((((ET47)-(EU47))+AE47),6)</f>
        <v>0</v>
      </c>
      <c r="AE47">
        <f>ROUND((EU47),6)</f>
        <v>0</v>
      </c>
      <c r="AF47">
        <f>ROUND(((EV47*245)),6)</f>
        <v>1109137.05</v>
      </c>
      <c r="AG47">
        <f t="shared" si="40"/>
        <v>0</v>
      </c>
      <c r="AH47">
        <f>((EW47*245))</f>
        <v>3405.5</v>
      </c>
      <c r="AI47">
        <f>(EX47)</f>
        <v>0</v>
      </c>
      <c r="AJ47">
        <f t="shared" si="41"/>
        <v>0</v>
      </c>
      <c r="AK47">
        <v>4583.3500000000004</v>
      </c>
      <c r="AL47">
        <v>56.26</v>
      </c>
      <c r="AM47">
        <v>0</v>
      </c>
      <c r="AN47">
        <v>0</v>
      </c>
      <c r="AO47">
        <v>4527.09</v>
      </c>
      <c r="AP47">
        <v>0</v>
      </c>
      <c r="AQ47">
        <v>13.9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81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2"/>
        <v>437939.09</v>
      </c>
      <c r="CQ47">
        <f t="shared" si="43"/>
        <v>13783.7</v>
      </c>
      <c r="CR47">
        <f>((((ET47)*BB47-(EU47)*BS47)+AE47*BS47)*AV47)</f>
        <v>0</v>
      </c>
      <c r="CS47">
        <f t="shared" si="44"/>
        <v>0</v>
      </c>
      <c r="CT47">
        <f t="shared" si="45"/>
        <v>1109137.05</v>
      </c>
      <c r="CU47">
        <f t="shared" si="46"/>
        <v>0</v>
      </c>
      <c r="CV47">
        <f t="shared" si="47"/>
        <v>3405.5</v>
      </c>
      <c r="CW47">
        <f t="shared" si="48"/>
        <v>0</v>
      </c>
      <c r="CX47">
        <f t="shared" si="49"/>
        <v>0</v>
      </c>
      <c r="CY47">
        <f t="shared" si="50"/>
        <v>302794.41499999998</v>
      </c>
      <c r="CZ47">
        <f t="shared" si="51"/>
        <v>43256.345000000001</v>
      </c>
      <c r="DC47" t="s">
        <v>3</v>
      </c>
      <c r="DD47" t="s">
        <v>82</v>
      </c>
      <c r="DE47" t="s">
        <v>3</v>
      </c>
      <c r="DF47" t="s">
        <v>3</v>
      </c>
      <c r="DG47" t="s">
        <v>82</v>
      </c>
      <c r="DH47" t="s">
        <v>3</v>
      </c>
      <c r="DI47" t="s">
        <v>82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16987630</v>
      </c>
      <c r="DV47" t="s">
        <v>31</v>
      </c>
      <c r="DW47" t="s">
        <v>31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1441815344</v>
      </c>
      <c r="EF47">
        <v>1</v>
      </c>
      <c r="EG47" t="s">
        <v>21</v>
      </c>
      <c r="EH47">
        <v>0</v>
      </c>
      <c r="EI47" t="s">
        <v>3</v>
      </c>
      <c r="EJ47">
        <v>4</v>
      </c>
      <c r="EK47">
        <v>0</v>
      </c>
      <c r="EL47" t="s">
        <v>22</v>
      </c>
      <c r="EM47" t="s">
        <v>23</v>
      </c>
      <c r="EO47" t="s">
        <v>3</v>
      </c>
      <c r="EQ47">
        <v>1024</v>
      </c>
      <c r="ER47">
        <v>4583.3500000000004</v>
      </c>
      <c r="ES47">
        <v>56.26</v>
      </c>
      <c r="ET47">
        <v>0</v>
      </c>
      <c r="EU47">
        <v>0</v>
      </c>
      <c r="EV47">
        <v>4527.09</v>
      </c>
      <c r="EW47">
        <v>13.9</v>
      </c>
      <c r="EX47">
        <v>0</v>
      </c>
      <c r="EY47">
        <v>0</v>
      </c>
      <c r="FQ47">
        <v>0</v>
      </c>
      <c r="FR47">
        <f t="shared" si="52"/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-414143233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3"/>
        <v>0</v>
      </c>
      <c r="GM47">
        <f t="shared" si="54"/>
        <v>783989.86</v>
      </c>
      <c r="GN47">
        <f t="shared" si="55"/>
        <v>0</v>
      </c>
      <c r="GO47">
        <f t="shared" si="56"/>
        <v>0</v>
      </c>
      <c r="GP47">
        <f t="shared" si="57"/>
        <v>783989.86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17</v>
      </c>
      <c r="B48">
        <v>1</v>
      </c>
      <c r="D48">
        <f>ROW(EtalonRes!A35)</f>
        <v>35</v>
      </c>
      <c r="E48" t="s">
        <v>3</v>
      </c>
      <c r="F48" t="s">
        <v>83</v>
      </c>
      <c r="G48" t="s">
        <v>84</v>
      </c>
      <c r="H48" t="s">
        <v>31</v>
      </c>
      <c r="I48">
        <f>ROUND(39/100,9)</f>
        <v>0.39</v>
      </c>
      <c r="J48">
        <v>0</v>
      </c>
      <c r="K48">
        <f>ROUND(39/100,9)</f>
        <v>0.39</v>
      </c>
      <c r="O48">
        <f t="shared" si="28"/>
        <v>259000.69</v>
      </c>
      <c r="P48">
        <f t="shared" si="29"/>
        <v>5375.64</v>
      </c>
      <c r="Q48">
        <f t="shared" si="30"/>
        <v>0</v>
      </c>
      <c r="R48">
        <f t="shared" si="31"/>
        <v>0</v>
      </c>
      <c r="S48">
        <f t="shared" si="32"/>
        <v>253625.05</v>
      </c>
      <c r="T48">
        <f t="shared" si="33"/>
        <v>0</v>
      </c>
      <c r="U48">
        <f t="shared" si="34"/>
        <v>778.73250000000007</v>
      </c>
      <c r="V48">
        <f t="shared" si="35"/>
        <v>0</v>
      </c>
      <c r="W48">
        <f t="shared" si="36"/>
        <v>0</v>
      </c>
      <c r="X48">
        <f t="shared" si="37"/>
        <v>177537.54</v>
      </c>
      <c r="Y48">
        <f t="shared" si="38"/>
        <v>25362.51</v>
      </c>
      <c r="AA48">
        <v>-1</v>
      </c>
      <c r="AB48">
        <f t="shared" si="39"/>
        <v>664104.35</v>
      </c>
      <c r="AC48">
        <f>ROUND(((ES48*245)),6)</f>
        <v>13783.7</v>
      </c>
      <c r="AD48">
        <f>ROUND((((ET48)-(EU48))+AE48),6)</f>
        <v>0</v>
      </c>
      <c r="AE48">
        <f>ROUND((EU48),6)</f>
        <v>0</v>
      </c>
      <c r="AF48">
        <f>ROUND(((EV48*245)),6)</f>
        <v>650320.65</v>
      </c>
      <c r="AG48">
        <f t="shared" si="40"/>
        <v>0</v>
      </c>
      <c r="AH48">
        <f>((EW48*245))</f>
        <v>1996.75</v>
      </c>
      <c r="AI48">
        <f>(EX48)</f>
        <v>0</v>
      </c>
      <c r="AJ48">
        <f t="shared" si="41"/>
        <v>0</v>
      </c>
      <c r="AK48">
        <v>2710.63</v>
      </c>
      <c r="AL48">
        <v>56.26</v>
      </c>
      <c r="AM48">
        <v>0</v>
      </c>
      <c r="AN48">
        <v>0</v>
      </c>
      <c r="AO48">
        <v>2654.37</v>
      </c>
      <c r="AP48">
        <v>0</v>
      </c>
      <c r="AQ48">
        <v>8.15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4</v>
      </c>
      <c r="BJ48" t="s">
        <v>85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2"/>
        <v>259000.69</v>
      </c>
      <c r="CQ48">
        <f t="shared" si="43"/>
        <v>13783.7</v>
      </c>
      <c r="CR48">
        <f>((((ET48)*BB48-(EU48)*BS48)+AE48*BS48)*AV48)</f>
        <v>0</v>
      </c>
      <c r="CS48">
        <f t="shared" si="44"/>
        <v>0</v>
      </c>
      <c r="CT48">
        <f t="shared" si="45"/>
        <v>650320.65</v>
      </c>
      <c r="CU48">
        <f t="shared" si="46"/>
        <v>0</v>
      </c>
      <c r="CV48">
        <f t="shared" si="47"/>
        <v>1996.75</v>
      </c>
      <c r="CW48">
        <f t="shared" si="48"/>
        <v>0</v>
      </c>
      <c r="CX48">
        <f t="shared" si="49"/>
        <v>0</v>
      </c>
      <c r="CY48">
        <f t="shared" si="50"/>
        <v>177537.535</v>
      </c>
      <c r="CZ48">
        <f t="shared" si="51"/>
        <v>25362.505000000001</v>
      </c>
      <c r="DC48" t="s">
        <v>3</v>
      </c>
      <c r="DD48" t="s">
        <v>82</v>
      </c>
      <c r="DE48" t="s">
        <v>3</v>
      </c>
      <c r="DF48" t="s">
        <v>3</v>
      </c>
      <c r="DG48" t="s">
        <v>82</v>
      </c>
      <c r="DH48" t="s">
        <v>3</v>
      </c>
      <c r="DI48" t="s">
        <v>82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16987630</v>
      </c>
      <c r="DV48" t="s">
        <v>31</v>
      </c>
      <c r="DW48" t="s">
        <v>31</v>
      </c>
      <c r="DX48">
        <v>100</v>
      </c>
      <c r="DZ48" t="s">
        <v>3</v>
      </c>
      <c r="EA48" t="s">
        <v>3</v>
      </c>
      <c r="EB48" t="s">
        <v>3</v>
      </c>
      <c r="EC48" t="s">
        <v>3</v>
      </c>
      <c r="EE48">
        <v>1441815344</v>
      </c>
      <c r="EF48">
        <v>1</v>
      </c>
      <c r="EG48" t="s">
        <v>21</v>
      </c>
      <c r="EH48">
        <v>0</v>
      </c>
      <c r="EI48" t="s">
        <v>3</v>
      </c>
      <c r="EJ48">
        <v>4</v>
      </c>
      <c r="EK48">
        <v>0</v>
      </c>
      <c r="EL48" t="s">
        <v>22</v>
      </c>
      <c r="EM48" t="s">
        <v>23</v>
      </c>
      <c r="EO48" t="s">
        <v>3</v>
      </c>
      <c r="EQ48">
        <v>1024</v>
      </c>
      <c r="ER48">
        <v>2710.63</v>
      </c>
      <c r="ES48">
        <v>56.26</v>
      </c>
      <c r="ET48">
        <v>0</v>
      </c>
      <c r="EU48">
        <v>0</v>
      </c>
      <c r="EV48">
        <v>2654.37</v>
      </c>
      <c r="EW48">
        <v>8.15</v>
      </c>
      <c r="EX48">
        <v>0</v>
      </c>
      <c r="EY48">
        <v>0</v>
      </c>
      <c r="FQ48">
        <v>0</v>
      </c>
      <c r="FR48">
        <f t="shared" si="52"/>
        <v>0</v>
      </c>
      <c r="FS48">
        <v>0</v>
      </c>
      <c r="FX48">
        <v>70</v>
      </c>
      <c r="FY48">
        <v>10</v>
      </c>
      <c r="GA48" t="s">
        <v>3</v>
      </c>
      <c r="GD48">
        <v>0</v>
      </c>
      <c r="GF48">
        <v>-729031507</v>
      </c>
      <c r="GG48">
        <v>2</v>
      </c>
      <c r="GH48">
        <v>1</v>
      </c>
      <c r="GI48">
        <v>-2</v>
      </c>
      <c r="GJ48">
        <v>0</v>
      </c>
      <c r="GK48">
        <f>ROUND(R48*(R12)/100,2)</f>
        <v>0</v>
      </c>
      <c r="GL48">
        <f t="shared" si="53"/>
        <v>0</v>
      </c>
      <c r="GM48">
        <f t="shared" si="54"/>
        <v>461900.74</v>
      </c>
      <c r="GN48">
        <f t="shared" si="55"/>
        <v>0</v>
      </c>
      <c r="GO48">
        <f t="shared" si="56"/>
        <v>0</v>
      </c>
      <c r="GP48">
        <f t="shared" si="57"/>
        <v>461900.74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HE48" t="s">
        <v>3</v>
      </c>
      <c r="HF48" t="s">
        <v>3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50" spans="1:206" x14ac:dyDescent="0.2">
      <c r="A50" s="2">
        <v>51</v>
      </c>
      <c r="B50" s="2">
        <f>B28</f>
        <v>1</v>
      </c>
      <c r="C50" s="2">
        <f>A28</f>
        <v>5</v>
      </c>
      <c r="D50" s="2">
        <f>ROW(A28)</f>
        <v>28</v>
      </c>
      <c r="E50" s="2"/>
      <c r="F50" s="2" t="str">
        <f>IF(F28&lt;&gt;"",F28,"")</f>
        <v>Новый подраздел</v>
      </c>
      <c r="G50" s="2" t="str">
        <f>IF(G28&lt;&gt;"",G28,"")</f>
        <v>Оборудование водоснабжения и водоотведения</v>
      </c>
      <c r="H50" s="2">
        <v>0</v>
      </c>
      <c r="I50" s="2"/>
      <c r="J50" s="2"/>
      <c r="K50" s="2"/>
      <c r="L50" s="2"/>
      <c r="M50" s="2"/>
      <c r="N50" s="2"/>
      <c r="O50" s="2">
        <f t="shared" ref="O50:T50" si="66">ROUND(AB50,2)</f>
        <v>101092.5</v>
      </c>
      <c r="P50" s="2">
        <f t="shared" si="66"/>
        <v>808.51</v>
      </c>
      <c r="Q50" s="2">
        <f t="shared" si="66"/>
        <v>7091.84</v>
      </c>
      <c r="R50" s="2">
        <f t="shared" si="66"/>
        <v>4461.9399999999996</v>
      </c>
      <c r="S50" s="2">
        <f t="shared" si="66"/>
        <v>93192.15</v>
      </c>
      <c r="T50" s="2">
        <f t="shared" si="66"/>
        <v>0</v>
      </c>
      <c r="U50" s="2">
        <f>AH50</f>
        <v>177.2655</v>
      </c>
      <c r="V50" s="2">
        <f>AI50</f>
        <v>0</v>
      </c>
      <c r="W50" s="2">
        <f>ROUND(AJ50,2)</f>
        <v>0</v>
      </c>
      <c r="X50" s="2">
        <f>ROUND(AK50,2)</f>
        <v>65234.51</v>
      </c>
      <c r="Y50" s="2">
        <f>ROUND(AL50,2)</f>
        <v>9319.2199999999993</v>
      </c>
      <c r="Z50" s="2"/>
      <c r="AA50" s="2"/>
      <c r="AB50" s="2">
        <f>ROUND(SUMIF(AA32:AA48,"=1471531721",O32:O48),2)</f>
        <v>101092.5</v>
      </c>
      <c r="AC50" s="2">
        <f>ROUND(SUMIF(AA32:AA48,"=1471531721",P32:P48),2)</f>
        <v>808.51</v>
      </c>
      <c r="AD50" s="2">
        <f>ROUND(SUMIF(AA32:AA48,"=1471531721",Q32:Q48),2)</f>
        <v>7091.84</v>
      </c>
      <c r="AE50" s="2">
        <f>ROUND(SUMIF(AA32:AA48,"=1471531721",R32:R48),2)</f>
        <v>4461.9399999999996</v>
      </c>
      <c r="AF50" s="2">
        <f>ROUND(SUMIF(AA32:AA48,"=1471531721",S32:S48),2)</f>
        <v>93192.15</v>
      </c>
      <c r="AG50" s="2">
        <f>ROUND(SUMIF(AA32:AA48,"=1471531721",T32:T48),2)</f>
        <v>0</v>
      </c>
      <c r="AH50" s="2">
        <f>SUMIF(AA32:AA48,"=1471531721",U32:U48)</f>
        <v>177.2655</v>
      </c>
      <c r="AI50" s="2">
        <f>SUMIF(AA32:AA48,"=1471531721",V32:V48)</f>
        <v>0</v>
      </c>
      <c r="AJ50" s="2">
        <f>ROUND(SUMIF(AA32:AA48,"=1471531721",W32:W48),2)</f>
        <v>0</v>
      </c>
      <c r="AK50" s="2">
        <f>ROUND(SUMIF(AA32:AA48,"=1471531721",X32:X48),2)</f>
        <v>65234.51</v>
      </c>
      <c r="AL50" s="2">
        <f>ROUND(SUMIF(AA32:AA48,"=1471531721",Y32:Y48),2)</f>
        <v>9319.2199999999993</v>
      </c>
      <c r="AM50" s="2"/>
      <c r="AN50" s="2"/>
      <c r="AO50" s="2">
        <f t="shared" ref="AO50:BD50" si="67">ROUND(BX50,2)</f>
        <v>0</v>
      </c>
      <c r="AP50" s="2">
        <f t="shared" si="67"/>
        <v>0</v>
      </c>
      <c r="AQ50" s="2">
        <f t="shared" si="67"/>
        <v>0</v>
      </c>
      <c r="AR50" s="2">
        <f t="shared" si="67"/>
        <v>180465.13</v>
      </c>
      <c r="AS50" s="2">
        <f t="shared" si="67"/>
        <v>0</v>
      </c>
      <c r="AT50" s="2">
        <f t="shared" si="67"/>
        <v>0</v>
      </c>
      <c r="AU50" s="2">
        <f t="shared" si="67"/>
        <v>180465.13</v>
      </c>
      <c r="AV50" s="2">
        <f t="shared" si="67"/>
        <v>808.51</v>
      </c>
      <c r="AW50" s="2">
        <f t="shared" si="67"/>
        <v>808.51</v>
      </c>
      <c r="AX50" s="2">
        <f t="shared" si="67"/>
        <v>0</v>
      </c>
      <c r="AY50" s="2">
        <f t="shared" si="67"/>
        <v>808.51</v>
      </c>
      <c r="AZ50" s="2">
        <f t="shared" si="67"/>
        <v>0</v>
      </c>
      <c r="BA50" s="2">
        <f t="shared" si="67"/>
        <v>0</v>
      </c>
      <c r="BB50" s="2">
        <f t="shared" si="67"/>
        <v>0</v>
      </c>
      <c r="BC50" s="2">
        <f t="shared" si="67"/>
        <v>0</v>
      </c>
      <c r="BD50" s="2">
        <f t="shared" si="67"/>
        <v>0</v>
      </c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>
        <f>ROUND(SUMIF(AA32:AA48,"=1471531721",FQ32:FQ48),2)</f>
        <v>0</v>
      </c>
      <c r="BY50" s="2">
        <f>ROUND(SUMIF(AA32:AA48,"=1471531721",FR32:FR48),2)</f>
        <v>0</v>
      </c>
      <c r="BZ50" s="2">
        <f>ROUND(SUMIF(AA32:AA48,"=1471531721",GL32:GL48),2)</f>
        <v>0</v>
      </c>
      <c r="CA50" s="2">
        <f>ROUND(SUMIF(AA32:AA48,"=1471531721",GM32:GM48),2)</f>
        <v>180465.13</v>
      </c>
      <c r="CB50" s="2">
        <f>ROUND(SUMIF(AA32:AA48,"=1471531721",GN32:GN48),2)</f>
        <v>0</v>
      </c>
      <c r="CC50" s="2">
        <f>ROUND(SUMIF(AA32:AA48,"=1471531721",GO32:GO48),2)</f>
        <v>0</v>
      </c>
      <c r="CD50" s="2">
        <f>ROUND(SUMIF(AA32:AA48,"=1471531721",GP32:GP48),2)</f>
        <v>180465.13</v>
      </c>
      <c r="CE50" s="2">
        <f>AC50-BX50</f>
        <v>808.51</v>
      </c>
      <c r="CF50" s="2">
        <f>AC50-BY50</f>
        <v>808.51</v>
      </c>
      <c r="CG50" s="2">
        <f>BX50-BZ50</f>
        <v>0</v>
      </c>
      <c r="CH50" s="2">
        <f>AC50-BX50-BY50+BZ50</f>
        <v>808.51</v>
      </c>
      <c r="CI50" s="2">
        <f>BY50-BZ50</f>
        <v>0</v>
      </c>
      <c r="CJ50" s="2">
        <f>ROUND(SUMIF(AA32:AA48,"=1471531721",GX32:GX48),2)</f>
        <v>0</v>
      </c>
      <c r="CK50" s="2">
        <f>ROUND(SUMIF(AA32:AA48,"=1471531721",GY32:GY48),2)</f>
        <v>0</v>
      </c>
      <c r="CL50" s="2">
        <f>ROUND(SUMIF(AA32:AA48,"=1471531721",GZ32:GZ48),2)</f>
        <v>0</v>
      </c>
      <c r="CM50" s="2">
        <f>ROUND(SUMIF(AA32:AA48,"=1471531721",HD32:HD48),2)</f>
        <v>0</v>
      </c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>
        <v>0</v>
      </c>
    </row>
    <row r="52" spans="1:206" x14ac:dyDescent="0.2">
      <c r="A52" s="4">
        <v>50</v>
      </c>
      <c r="B52" s="4">
        <v>0</v>
      </c>
      <c r="C52" s="4">
        <v>0</v>
      </c>
      <c r="D52" s="4">
        <v>1</v>
      </c>
      <c r="E52" s="4">
        <v>201</v>
      </c>
      <c r="F52" s="4">
        <f>ROUND(Source!O50,O52)</f>
        <v>101092.5</v>
      </c>
      <c r="G52" s="4" t="s">
        <v>86</v>
      </c>
      <c r="H52" s="4" t="s">
        <v>87</v>
      </c>
      <c r="I52" s="4"/>
      <c r="J52" s="4"/>
      <c r="K52" s="4">
        <v>201</v>
      </c>
      <c r="L52" s="4">
        <v>1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15332.63</v>
      </c>
      <c r="X52" s="4">
        <v>1</v>
      </c>
      <c r="Y52" s="4">
        <v>15332.63</v>
      </c>
      <c r="Z52" s="4"/>
      <c r="AA52" s="4"/>
      <c r="AB52" s="4"/>
    </row>
    <row r="53" spans="1:206" x14ac:dyDescent="0.2">
      <c r="A53" s="4">
        <v>50</v>
      </c>
      <c r="B53" s="4">
        <v>0</v>
      </c>
      <c r="C53" s="4">
        <v>0</v>
      </c>
      <c r="D53" s="4">
        <v>1</v>
      </c>
      <c r="E53" s="4">
        <v>202</v>
      </c>
      <c r="F53" s="4">
        <f>ROUND(Source!P50,O53)</f>
        <v>808.51</v>
      </c>
      <c r="G53" s="4" t="s">
        <v>88</v>
      </c>
      <c r="H53" s="4" t="s">
        <v>89</v>
      </c>
      <c r="I53" s="4"/>
      <c r="J53" s="4"/>
      <c r="K53" s="4">
        <v>202</v>
      </c>
      <c r="L53" s="4">
        <v>2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x14ac:dyDescent="0.2">
      <c r="A54" s="4">
        <v>50</v>
      </c>
      <c r="B54" s="4">
        <v>0</v>
      </c>
      <c r="C54" s="4">
        <v>0</v>
      </c>
      <c r="D54" s="4">
        <v>1</v>
      </c>
      <c r="E54" s="4">
        <v>222</v>
      </c>
      <c r="F54" s="4">
        <f>ROUND(Source!AO50,O54)</f>
        <v>0</v>
      </c>
      <c r="G54" s="4" t="s">
        <v>90</v>
      </c>
      <c r="H54" s="4" t="s">
        <v>91</v>
      </c>
      <c r="I54" s="4"/>
      <c r="J54" s="4"/>
      <c r="K54" s="4">
        <v>222</v>
      </c>
      <c r="L54" s="4">
        <v>3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06" x14ac:dyDescent="0.2">
      <c r="A55" s="4">
        <v>50</v>
      </c>
      <c r="B55" s="4">
        <v>0</v>
      </c>
      <c r="C55" s="4">
        <v>0</v>
      </c>
      <c r="D55" s="4">
        <v>1</v>
      </c>
      <c r="E55" s="4">
        <v>225</v>
      </c>
      <c r="F55" s="4">
        <f>ROUND(Source!AV50,O55)</f>
        <v>808.51</v>
      </c>
      <c r="G55" s="4" t="s">
        <v>92</v>
      </c>
      <c r="H55" s="4" t="s">
        <v>93</v>
      </c>
      <c r="I55" s="4"/>
      <c r="J55" s="4"/>
      <c r="K55" s="4">
        <v>225</v>
      </c>
      <c r="L55" s="4">
        <v>4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06" x14ac:dyDescent="0.2">
      <c r="A56" s="4">
        <v>50</v>
      </c>
      <c r="B56" s="4">
        <v>0</v>
      </c>
      <c r="C56" s="4">
        <v>0</v>
      </c>
      <c r="D56" s="4">
        <v>1</v>
      </c>
      <c r="E56" s="4">
        <v>226</v>
      </c>
      <c r="F56" s="4">
        <f>ROUND(Source!AW50,O56)</f>
        <v>808.51</v>
      </c>
      <c r="G56" s="4" t="s">
        <v>94</v>
      </c>
      <c r="H56" s="4" t="s">
        <v>95</v>
      </c>
      <c r="I56" s="4"/>
      <c r="J56" s="4"/>
      <c r="K56" s="4">
        <v>226</v>
      </c>
      <c r="L56" s="4">
        <v>5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x14ac:dyDescent="0.2">
      <c r="A57" s="4">
        <v>50</v>
      </c>
      <c r="B57" s="4">
        <v>0</v>
      </c>
      <c r="C57" s="4">
        <v>0</v>
      </c>
      <c r="D57" s="4">
        <v>1</v>
      </c>
      <c r="E57" s="4">
        <v>227</v>
      </c>
      <c r="F57" s="4">
        <f>ROUND(Source!AX50,O57)</f>
        <v>0</v>
      </c>
      <c r="G57" s="4" t="s">
        <v>96</v>
      </c>
      <c r="H57" s="4" t="s">
        <v>97</v>
      </c>
      <c r="I57" s="4"/>
      <c r="J57" s="4"/>
      <c r="K57" s="4">
        <v>227</v>
      </c>
      <c r="L57" s="4">
        <v>6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06" x14ac:dyDescent="0.2">
      <c r="A58" s="4">
        <v>50</v>
      </c>
      <c r="B58" s="4">
        <v>0</v>
      </c>
      <c r="C58" s="4">
        <v>0</v>
      </c>
      <c r="D58" s="4">
        <v>1</v>
      </c>
      <c r="E58" s="4">
        <v>228</v>
      </c>
      <c r="F58" s="4">
        <f>ROUND(Source!AY50,O58)</f>
        <v>808.51</v>
      </c>
      <c r="G58" s="4" t="s">
        <v>98</v>
      </c>
      <c r="H58" s="4" t="s">
        <v>99</v>
      </c>
      <c r="I58" s="4"/>
      <c r="J58" s="4"/>
      <c r="K58" s="4">
        <v>228</v>
      </c>
      <c r="L58" s="4">
        <v>7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06" x14ac:dyDescent="0.2">
      <c r="A59" s="4">
        <v>50</v>
      </c>
      <c r="B59" s="4">
        <v>0</v>
      </c>
      <c r="C59" s="4">
        <v>0</v>
      </c>
      <c r="D59" s="4">
        <v>1</v>
      </c>
      <c r="E59" s="4">
        <v>216</v>
      </c>
      <c r="F59" s="4">
        <f>ROUND(Source!AP50,O59)</f>
        <v>0</v>
      </c>
      <c r="G59" s="4" t="s">
        <v>100</v>
      </c>
      <c r="H59" s="4" t="s">
        <v>101</v>
      </c>
      <c r="I59" s="4"/>
      <c r="J59" s="4"/>
      <c r="K59" s="4">
        <v>216</v>
      </c>
      <c r="L59" s="4">
        <v>8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06" x14ac:dyDescent="0.2">
      <c r="A60" s="4">
        <v>50</v>
      </c>
      <c r="B60" s="4">
        <v>0</v>
      </c>
      <c r="C60" s="4">
        <v>0</v>
      </c>
      <c r="D60" s="4">
        <v>1</v>
      </c>
      <c r="E60" s="4">
        <v>223</v>
      </c>
      <c r="F60" s="4">
        <f>ROUND(Source!AQ50,O60)</f>
        <v>0</v>
      </c>
      <c r="G60" s="4" t="s">
        <v>102</v>
      </c>
      <c r="H60" s="4" t="s">
        <v>103</v>
      </c>
      <c r="I60" s="4"/>
      <c r="J60" s="4"/>
      <c r="K60" s="4">
        <v>223</v>
      </c>
      <c r="L60" s="4">
        <v>9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06" x14ac:dyDescent="0.2">
      <c r="A61" s="4">
        <v>50</v>
      </c>
      <c r="B61" s="4">
        <v>0</v>
      </c>
      <c r="C61" s="4">
        <v>0</v>
      </c>
      <c r="D61" s="4">
        <v>1</v>
      </c>
      <c r="E61" s="4">
        <v>229</v>
      </c>
      <c r="F61" s="4">
        <f>ROUND(Source!AZ50,O61)</f>
        <v>0</v>
      </c>
      <c r="G61" s="4" t="s">
        <v>104</v>
      </c>
      <c r="H61" s="4" t="s">
        <v>105</v>
      </c>
      <c r="I61" s="4"/>
      <c r="J61" s="4"/>
      <c r="K61" s="4">
        <v>229</v>
      </c>
      <c r="L61" s="4">
        <v>10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06" x14ac:dyDescent="0.2">
      <c r="A62" s="4">
        <v>50</v>
      </c>
      <c r="B62" s="4">
        <v>0</v>
      </c>
      <c r="C62" s="4">
        <v>0</v>
      </c>
      <c r="D62" s="4">
        <v>1</v>
      </c>
      <c r="E62" s="4">
        <v>203</v>
      </c>
      <c r="F62" s="4">
        <f>ROUND(Source!Q50,O62)</f>
        <v>7091.84</v>
      </c>
      <c r="G62" s="4" t="s">
        <v>106</v>
      </c>
      <c r="H62" s="4" t="s">
        <v>107</v>
      </c>
      <c r="I62" s="4"/>
      <c r="J62" s="4"/>
      <c r="K62" s="4">
        <v>203</v>
      </c>
      <c r="L62" s="4">
        <v>11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3518.1</v>
      </c>
      <c r="X62" s="4">
        <v>1</v>
      </c>
      <c r="Y62" s="4">
        <v>3518.1</v>
      </c>
      <c r="Z62" s="4"/>
      <c r="AA62" s="4"/>
      <c r="AB62" s="4"/>
    </row>
    <row r="63" spans="1:206" x14ac:dyDescent="0.2">
      <c r="A63" s="4">
        <v>50</v>
      </c>
      <c r="B63" s="4">
        <v>0</v>
      </c>
      <c r="C63" s="4">
        <v>0</v>
      </c>
      <c r="D63" s="4">
        <v>1</v>
      </c>
      <c r="E63" s="4">
        <v>231</v>
      </c>
      <c r="F63" s="4">
        <f>ROUND(Source!BB50,O63)</f>
        <v>0</v>
      </c>
      <c r="G63" s="4" t="s">
        <v>108</v>
      </c>
      <c r="H63" s="4" t="s">
        <v>109</v>
      </c>
      <c r="I63" s="4"/>
      <c r="J63" s="4"/>
      <c r="K63" s="4">
        <v>231</v>
      </c>
      <c r="L63" s="4">
        <v>12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06" x14ac:dyDescent="0.2">
      <c r="A64" s="4">
        <v>50</v>
      </c>
      <c r="B64" s="4">
        <v>0</v>
      </c>
      <c r="C64" s="4">
        <v>0</v>
      </c>
      <c r="D64" s="4">
        <v>1</v>
      </c>
      <c r="E64" s="4">
        <v>204</v>
      </c>
      <c r="F64" s="4">
        <f>ROUND(Source!R50,O64)</f>
        <v>4461.9399999999996</v>
      </c>
      <c r="G64" s="4" t="s">
        <v>110</v>
      </c>
      <c r="H64" s="4" t="s">
        <v>111</v>
      </c>
      <c r="I64" s="4"/>
      <c r="J64" s="4"/>
      <c r="K64" s="4">
        <v>204</v>
      </c>
      <c r="L64" s="4">
        <v>13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2230.65</v>
      </c>
      <c r="X64" s="4">
        <v>1</v>
      </c>
      <c r="Y64" s="4">
        <v>2230.65</v>
      </c>
      <c r="Z64" s="4"/>
      <c r="AA64" s="4"/>
      <c r="AB64" s="4"/>
    </row>
    <row r="65" spans="1:88" x14ac:dyDescent="0.2">
      <c r="A65" s="4">
        <v>50</v>
      </c>
      <c r="B65" s="4">
        <v>0</v>
      </c>
      <c r="C65" s="4">
        <v>0</v>
      </c>
      <c r="D65" s="4">
        <v>1</v>
      </c>
      <c r="E65" s="4">
        <v>205</v>
      </c>
      <c r="F65" s="4">
        <f>ROUND(Source!S50,O65)</f>
        <v>93192.15</v>
      </c>
      <c r="G65" s="4" t="s">
        <v>112</v>
      </c>
      <c r="H65" s="4" t="s">
        <v>113</v>
      </c>
      <c r="I65" s="4"/>
      <c r="J65" s="4"/>
      <c r="K65" s="4">
        <v>205</v>
      </c>
      <c r="L65" s="4">
        <v>14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11814.53</v>
      </c>
      <c r="X65" s="4">
        <v>1</v>
      </c>
      <c r="Y65" s="4">
        <v>11814.53</v>
      </c>
      <c r="Z65" s="4"/>
      <c r="AA65" s="4"/>
      <c r="AB65" s="4"/>
    </row>
    <row r="66" spans="1:88" x14ac:dyDescent="0.2">
      <c r="A66" s="4">
        <v>50</v>
      </c>
      <c r="B66" s="4">
        <v>0</v>
      </c>
      <c r="C66" s="4">
        <v>0</v>
      </c>
      <c r="D66" s="4">
        <v>1</v>
      </c>
      <c r="E66" s="4">
        <v>232</v>
      </c>
      <c r="F66" s="4">
        <f>ROUND(Source!BC50,O66)</f>
        <v>0</v>
      </c>
      <c r="G66" s="4" t="s">
        <v>114</v>
      </c>
      <c r="H66" s="4" t="s">
        <v>115</v>
      </c>
      <c r="I66" s="4"/>
      <c r="J66" s="4"/>
      <c r="K66" s="4">
        <v>232</v>
      </c>
      <c r="L66" s="4">
        <v>15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88" x14ac:dyDescent="0.2">
      <c r="A67" s="4">
        <v>50</v>
      </c>
      <c r="B67" s="4">
        <v>0</v>
      </c>
      <c r="C67" s="4">
        <v>0</v>
      </c>
      <c r="D67" s="4">
        <v>1</v>
      </c>
      <c r="E67" s="4">
        <v>214</v>
      </c>
      <c r="F67" s="4">
        <f>ROUND(Source!AS50,O67)</f>
        <v>0</v>
      </c>
      <c r="G67" s="4" t="s">
        <v>116</v>
      </c>
      <c r="H67" s="4" t="s">
        <v>117</v>
      </c>
      <c r="I67" s="4"/>
      <c r="J67" s="4"/>
      <c r="K67" s="4">
        <v>214</v>
      </c>
      <c r="L67" s="4">
        <v>16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88" x14ac:dyDescent="0.2">
      <c r="A68" s="4">
        <v>50</v>
      </c>
      <c r="B68" s="4">
        <v>0</v>
      </c>
      <c r="C68" s="4">
        <v>0</v>
      </c>
      <c r="D68" s="4">
        <v>1</v>
      </c>
      <c r="E68" s="4">
        <v>215</v>
      </c>
      <c r="F68" s="4">
        <f>ROUND(Source!AT50,O68)</f>
        <v>0</v>
      </c>
      <c r="G68" s="4" t="s">
        <v>118</v>
      </c>
      <c r="H68" s="4" t="s">
        <v>119</v>
      </c>
      <c r="I68" s="4"/>
      <c r="J68" s="4"/>
      <c r="K68" s="4">
        <v>215</v>
      </c>
      <c r="L68" s="4">
        <v>17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88" x14ac:dyDescent="0.2">
      <c r="A69" s="4">
        <v>50</v>
      </c>
      <c r="B69" s="4">
        <v>0</v>
      </c>
      <c r="C69" s="4">
        <v>0</v>
      </c>
      <c r="D69" s="4">
        <v>1</v>
      </c>
      <c r="E69" s="4">
        <v>217</v>
      </c>
      <c r="F69" s="4">
        <f>ROUND(Source!AU50,O69)</f>
        <v>180465.13</v>
      </c>
      <c r="G69" s="4" t="s">
        <v>120</v>
      </c>
      <c r="H69" s="4" t="s">
        <v>121</v>
      </c>
      <c r="I69" s="4"/>
      <c r="J69" s="4"/>
      <c r="K69" s="4">
        <v>217</v>
      </c>
      <c r="L69" s="4">
        <v>18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27193.35</v>
      </c>
      <c r="X69" s="4">
        <v>1</v>
      </c>
      <c r="Y69" s="4">
        <v>27193.35</v>
      </c>
      <c r="Z69" s="4"/>
      <c r="AA69" s="4"/>
      <c r="AB69" s="4"/>
    </row>
    <row r="70" spans="1:88" x14ac:dyDescent="0.2">
      <c r="A70" s="4">
        <v>50</v>
      </c>
      <c r="B70" s="4">
        <v>0</v>
      </c>
      <c r="C70" s="4">
        <v>0</v>
      </c>
      <c r="D70" s="4">
        <v>1</v>
      </c>
      <c r="E70" s="4">
        <v>230</v>
      </c>
      <c r="F70" s="4">
        <f>ROUND(Source!BA50,O70)</f>
        <v>0</v>
      </c>
      <c r="G70" s="4" t="s">
        <v>122</v>
      </c>
      <c r="H70" s="4" t="s">
        <v>123</v>
      </c>
      <c r="I70" s="4"/>
      <c r="J70" s="4"/>
      <c r="K70" s="4">
        <v>230</v>
      </c>
      <c r="L70" s="4">
        <v>19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88" x14ac:dyDescent="0.2">
      <c r="A71" s="4">
        <v>50</v>
      </c>
      <c r="B71" s="4">
        <v>0</v>
      </c>
      <c r="C71" s="4">
        <v>0</v>
      </c>
      <c r="D71" s="4">
        <v>1</v>
      </c>
      <c r="E71" s="4">
        <v>206</v>
      </c>
      <c r="F71" s="4">
        <f>ROUND(Source!T50,O71)</f>
        <v>0</v>
      </c>
      <c r="G71" s="4" t="s">
        <v>124</v>
      </c>
      <c r="H71" s="4" t="s">
        <v>125</v>
      </c>
      <c r="I71" s="4"/>
      <c r="J71" s="4"/>
      <c r="K71" s="4">
        <v>206</v>
      </c>
      <c r="L71" s="4">
        <v>20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88" x14ac:dyDescent="0.2">
      <c r="A72" s="4">
        <v>50</v>
      </c>
      <c r="B72" s="4">
        <v>0</v>
      </c>
      <c r="C72" s="4">
        <v>0</v>
      </c>
      <c r="D72" s="4">
        <v>1</v>
      </c>
      <c r="E72" s="4">
        <v>207</v>
      </c>
      <c r="F72" s="4">
        <f>Source!U50</f>
        <v>177.2655</v>
      </c>
      <c r="G72" s="4" t="s">
        <v>126</v>
      </c>
      <c r="H72" s="4" t="s">
        <v>127</v>
      </c>
      <c r="I72" s="4"/>
      <c r="J72" s="4"/>
      <c r="K72" s="4">
        <v>207</v>
      </c>
      <c r="L72" s="4">
        <v>21</v>
      </c>
      <c r="M72" s="4">
        <v>3</v>
      </c>
      <c r="N72" s="4" t="s">
        <v>3</v>
      </c>
      <c r="O72" s="4">
        <v>-1</v>
      </c>
      <c r="P72" s="4"/>
      <c r="Q72" s="4"/>
      <c r="R72" s="4"/>
      <c r="S72" s="4"/>
      <c r="T72" s="4"/>
      <c r="U72" s="4"/>
      <c r="V72" s="4"/>
      <c r="W72" s="4">
        <v>20.624999999999996</v>
      </c>
      <c r="X72" s="4">
        <v>1</v>
      </c>
      <c r="Y72" s="4">
        <v>20.624999999999996</v>
      </c>
      <c r="Z72" s="4"/>
      <c r="AA72" s="4"/>
      <c r="AB72" s="4"/>
    </row>
    <row r="73" spans="1:88" x14ac:dyDescent="0.2">
      <c r="A73" s="4">
        <v>50</v>
      </c>
      <c r="B73" s="4">
        <v>0</v>
      </c>
      <c r="C73" s="4">
        <v>0</v>
      </c>
      <c r="D73" s="4">
        <v>1</v>
      </c>
      <c r="E73" s="4">
        <v>208</v>
      </c>
      <c r="F73" s="4">
        <f>Source!V50</f>
        <v>0</v>
      </c>
      <c r="G73" s="4" t="s">
        <v>128</v>
      </c>
      <c r="H73" s="4" t="s">
        <v>129</v>
      </c>
      <c r="I73" s="4"/>
      <c r="J73" s="4"/>
      <c r="K73" s="4">
        <v>208</v>
      </c>
      <c r="L73" s="4">
        <v>22</v>
      </c>
      <c r="M73" s="4">
        <v>3</v>
      </c>
      <c r="N73" s="4" t="s">
        <v>3</v>
      </c>
      <c r="O73" s="4">
        <v>-1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88" x14ac:dyDescent="0.2">
      <c r="A74" s="4">
        <v>50</v>
      </c>
      <c r="B74" s="4">
        <v>0</v>
      </c>
      <c r="C74" s="4">
        <v>0</v>
      </c>
      <c r="D74" s="4">
        <v>1</v>
      </c>
      <c r="E74" s="4">
        <v>209</v>
      </c>
      <c r="F74" s="4">
        <f>ROUND(Source!W50,O74)</f>
        <v>0</v>
      </c>
      <c r="G74" s="4" t="s">
        <v>130</v>
      </c>
      <c r="H74" s="4" t="s">
        <v>131</v>
      </c>
      <c r="I74" s="4"/>
      <c r="J74" s="4"/>
      <c r="K74" s="4">
        <v>209</v>
      </c>
      <c r="L74" s="4">
        <v>23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88" x14ac:dyDescent="0.2">
      <c r="A75" s="4">
        <v>50</v>
      </c>
      <c r="B75" s="4">
        <v>0</v>
      </c>
      <c r="C75" s="4">
        <v>0</v>
      </c>
      <c r="D75" s="4">
        <v>1</v>
      </c>
      <c r="E75" s="4">
        <v>233</v>
      </c>
      <c r="F75" s="4">
        <f>ROUND(Source!BD50,O75)</f>
        <v>0</v>
      </c>
      <c r="G75" s="4" t="s">
        <v>132</v>
      </c>
      <c r="H75" s="4" t="s">
        <v>133</v>
      </c>
      <c r="I75" s="4"/>
      <c r="J75" s="4"/>
      <c r="K75" s="4">
        <v>233</v>
      </c>
      <c r="L75" s="4">
        <v>24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88" x14ac:dyDescent="0.2">
      <c r="A76" s="4">
        <v>50</v>
      </c>
      <c r="B76" s="4">
        <v>0</v>
      </c>
      <c r="C76" s="4">
        <v>0</v>
      </c>
      <c r="D76" s="4">
        <v>1</v>
      </c>
      <c r="E76" s="4">
        <v>210</v>
      </c>
      <c r="F76" s="4">
        <f>ROUND(Source!X50,O76)</f>
        <v>65234.51</v>
      </c>
      <c r="G76" s="4" t="s">
        <v>134</v>
      </c>
      <c r="H76" s="4" t="s">
        <v>135</v>
      </c>
      <c r="I76" s="4"/>
      <c r="J76" s="4"/>
      <c r="K76" s="4">
        <v>210</v>
      </c>
      <c r="L76" s="4">
        <v>25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8270.17</v>
      </c>
      <c r="X76" s="4">
        <v>1</v>
      </c>
      <c r="Y76" s="4">
        <v>8270.17</v>
      </c>
      <c r="Z76" s="4"/>
      <c r="AA76" s="4"/>
      <c r="AB76" s="4"/>
    </row>
    <row r="77" spans="1:88" x14ac:dyDescent="0.2">
      <c r="A77" s="4">
        <v>50</v>
      </c>
      <c r="B77" s="4">
        <v>0</v>
      </c>
      <c r="C77" s="4">
        <v>0</v>
      </c>
      <c r="D77" s="4">
        <v>1</v>
      </c>
      <c r="E77" s="4">
        <v>211</v>
      </c>
      <c r="F77" s="4">
        <f>ROUND(Source!Y50,O77)</f>
        <v>9319.2199999999993</v>
      </c>
      <c r="G77" s="4" t="s">
        <v>136</v>
      </c>
      <c r="H77" s="4" t="s">
        <v>137</v>
      </c>
      <c r="I77" s="4"/>
      <c r="J77" s="4"/>
      <c r="K77" s="4">
        <v>211</v>
      </c>
      <c r="L77" s="4">
        <v>26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1181.45</v>
      </c>
      <c r="X77" s="4">
        <v>1</v>
      </c>
      <c r="Y77" s="4">
        <v>1181.45</v>
      </c>
      <c r="Z77" s="4"/>
      <c r="AA77" s="4"/>
      <c r="AB77" s="4"/>
    </row>
    <row r="78" spans="1:88" x14ac:dyDescent="0.2">
      <c r="A78" s="4">
        <v>50</v>
      </c>
      <c r="B78" s="4">
        <v>0</v>
      </c>
      <c r="C78" s="4">
        <v>0</v>
      </c>
      <c r="D78" s="4">
        <v>1</v>
      </c>
      <c r="E78" s="4">
        <v>224</v>
      </c>
      <c r="F78" s="4">
        <f>ROUND(Source!AR50,O78)</f>
        <v>180465.13</v>
      </c>
      <c r="G78" s="4" t="s">
        <v>138</v>
      </c>
      <c r="H78" s="4" t="s">
        <v>139</v>
      </c>
      <c r="I78" s="4"/>
      <c r="J78" s="4"/>
      <c r="K78" s="4">
        <v>224</v>
      </c>
      <c r="L78" s="4">
        <v>27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27193.35</v>
      </c>
      <c r="X78" s="4">
        <v>1</v>
      </c>
      <c r="Y78" s="4">
        <v>27193.35</v>
      </c>
      <c r="Z78" s="4"/>
      <c r="AA78" s="4"/>
      <c r="AB78" s="4"/>
    </row>
    <row r="80" spans="1:88" x14ac:dyDescent="0.2">
      <c r="A80" s="1">
        <v>5</v>
      </c>
      <c r="B80" s="1">
        <v>1</v>
      </c>
      <c r="C80" s="1"/>
      <c r="D80" s="1">
        <f>ROW(A92)</f>
        <v>92</v>
      </c>
      <c r="E80" s="1"/>
      <c r="F80" s="1" t="s">
        <v>14</v>
      </c>
      <c r="G80" s="1" t="s">
        <v>140</v>
      </c>
      <c r="H80" s="1" t="s">
        <v>3</v>
      </c>
      <c r="I80" s="1">
        <v>0</v>
      </c>
      <c r="J80" s="1"/>
      <c r="K80" s="1">
        <v>-1</v>
      </c>
      <c r="L80" s="1"/>
      <c r="M80" s="1" t="s">
        <v>3</v>
      </c>
      <c r="N80" s="1"/>
      <c r="O80" s="1"/>
      <c r="P80" s="1"/>
      <c r="Q80" s="1"/>
      <c r="R80" s="1"/>
      <c r="S80" s="1">
        <v>0</v>
      </c>
      <c r="T80" s="1"/>
      <c r="U80" s="1" t="s">
        <v>3</v>
      </c>
      <c r="V80" s="1">
        <v>0</v>
      </c>
      <c r="W80" s="1"/>
      <c r="X80" s="1"/>
      <c r="Y80" s="1"/>
      <c r="Z80" s="1"/>
      <c r="AA80" s="1"/>
      <c r="AB80" s="1" t="s">
        <v>3</v>
      </c>
      <c r="AC80" s="1" t="s">
        <v>3</v>
      </c>
      <c r="AD80" s="1" t="s">
        <v>3</v>
      </c>
      <c r="AE80" s="1" t="s">
        <v>3</v>
      </c>
      <c r="AF80" s="1" t="s">
        <v>3</v>
      </c>
      <c r="AG80" s="1" t="s">
        <v>3</v>
      </c>
      <c r="AH80" s="1"/>
      <c r="AI80" s="1"/>
      <c r="AJ80" s="1"/>
      <c r="AK80" s="1"/>
      <c r="AL80" s="1"/>
      <c r="AM80" s="1"/>
      <c r="AN80" s="1"/>
      <c r="AO80" s="1"/>
      <c r="AP80" s="1" t="s">
        <v>3</v>
      </c>
      <c r="AQ80" s="1" t="s">
        <v>3</v>
      </c>
      <c r="AR80" s="1" t="s">
        <v>3</v>
      </c>
      <c r="AS80" s="1"/>
      <c r="AT80" s="1"/>
      <c r="AU80" s="1"/>
      <c r="AV80" s="1"/>
      <c r="AW80" s="1"/>
      <c r="AX80" s="1"/>
      <c r="AY80" s="1"/>
      <c r="AZ80" s="1" t="s">
        <v>3</v>
      </c>
      <c r="BA80" s="1"/>
      <c r="BB80" s="1" t="s">
        <v>3</v>
      </c>
      <c r="BC80" s="1" t="s">
        <v>3</v>
      </c>
      <c r="BD80" s="1" t="s">
        <v>3</v>
      </c>
      <c r="BE80" s="1" t="s">
        <v>3</v>
      </c>
      <c r="BF80" s="1" t="s">
        <v>3</v>
      </c>
      <c r="BG80" s="1" t="s">
        <v>3</v>
      </c>
      <c r="BH80" s="1" t="s">
        <v>3</v>
      </c>
      <c r="BI80" s="1" t="s">
        <v>3</v>
      </c>
      <c r="BJ80" s="1" t="s">
        <v>3</v>
      </c>
      <c r="BK80" s="1" t="s">
        <v>3</v>
      </c>
      <c r="BL80" s="1" t="s">
        <v>3</v>
      </c>
      <c r="BM80" s="1" t="s">
        <v>3</v>
      </c>
      <c r="BN80" s="1" t="s">
        <v>3</v>
      </c>
      <c r="BO80" s="1" t="s">
        <v>3</v>
      </c>
      <c r="BP80" s="1" t="s">
        <v>3</v>
      </c>
      <c r="BQ80" s="1"/>
      <c r="BR80" s="1"/>
      <c r="BS80" s="1"/>
      <c r="BT80" s="1"/>
      <c r="BU80" s="1"/>
      <c r="BV80" s="1"/>
      <c r="BW80" s="1"/>
      <c r="BX80" s="1">
        <v>0</v>
      </c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>
        <v>0</v>
      </c>
    </row>
    <row r="82" spans="1:245" x14ac:dyDescent="0.2">
      <c r="A82" s="2">
        <v>52</v>
      </c>
      <c r="B82" s="2">
        <f t="shared" ref="B82:G82" si="68">B92</f>
        <v>1</v>
      </c>
      <c r="C82" s="2">
        <f t="shared" si="68"/>
        <v>5</v>
      </c>
      <c r="D82" s="2">
        <f t="shared" si="68"/>
        <v>80</v>
      </c>
      <c r="E82" s="2">
        <f t="shared" si="68"/>
        <v>0</v>
      </c>
      <c r="F82" s="2" t="str">
        <f t="shared" si="68"/>
        <v>Новый подраздел</v>
      </c>
      <c r="G82" s="2" t="str">
        <f t="shared" si="68"/>
        <v>Техническое помещение общее на модуль</v>
      </c>
      <c r="H82" s="2"/>
      <c r="I82" s="2"/>
      <c r="J82" s="2"/>
      <c r="K82" s="2"/>
      <c r="L82" s="2"/>
      <c r="M82" s="2"/>
      <c r="N82" s="2"/>
      <c r="O82" s="2">
        <f t="shared" ref="O82:AT82" si="69">O92</f>
        <v>191056.35</v>
      </c>
      <c r="P82" s="2">
        <f t="shared" si="69"/>
        <v>88239</v>
      </c>
      <c r="Q82" s="2">
        <f t="shared" si="69"/>
        <v>21565.35</v>
      </c>
      <c r="R82" s="2">
        <f t="shared" si="69"/>
        <v>13438.5</v>
      </c>
      <c r="S82" s="2">
        <f t="shared" si="69"/>
        <v>81252</v>
      </c>
      <c r="T82" s="2">
        <f t="shared" si="69"/>
        <v>0</v>
      </c>
      <c r="U82" s="2">
        <f t="shared" si="69"/>
        <v>120.45</v>
      </c>
      <c r="V82" s="2">
        <f t="shared" si="69"/>
        <v>0</v>
      </c>
      <c r="W82" s="2">
        <f t="shared" si="69"/>
        <v>0</v>
      </c>
      <c r="X82" s="2">
        <f t="shared" si="69"/>
        <v>56876.41</v>
      </c>
      <c r="Y82" s="2">
        <f t="shared" si="69"/>
        <v>8125.21</v>
      </c>
      <c r="Z82" s="2">
        <f t="shared" si="69"/>
        <v>0</v>
      </c>
      <c r="AA82" s="2">
        <f t="shared" si="69"/>
        <v>0</v>
      </c>
      <c r="AB82" s="2">
        <f t="shared" si="69"/>
        <v>191056.35</v>
      </c>
      <c r="AC82" s="2">
        <f t="shared" si="69"/>
        <v>88239</v>
      </c>
      <c r="AD82" s="2">
        <f t="shared" si="69"/>
        <v>21565.35</v>
      </c>
      <c r="AE82" s="2">
        <f t="shared" si="69"/>
        <v>13438.5</v>
      </c>
      <c r="AF82" s="2">
        <f t="shared" si="69"/>
        <v>81252</v>
      </c>
      <c r="AG82" s="2">
        <f t="shared" si="69"/>
        <v>0</v>
      </c>
      <c r="AH82" s="2">
        <f t="shared" si="69"/>
        <v>120.45</v>
      </c>
      <c r="AI82" s="2">
        <f t="shared" si="69"/>
        <v>0</v>
      </c>
      <c r="AJ82" s="2">
        <f t="shared" si="69"/>
        <v>0</v>
      </c>
      <c r="AK82" s="2">
        <f t="shared" si="69"/>
        <v>56876.41</v>
      </c>
      <c r="AL82" s="2">
        <f t="shared" si="69"/>
        <v>8125.21</v>
      </c>
      <c r="AM82" s="2">
        <f t="shared" si="69"/>
        <v>0</v>
      </c>
      <c r="AN82" s="2">
        <f t="shared" si="69"/>
        <v>0</v>
      </c>
      <c r="AO82" s="2">
        <f t="shared" si="69"/>
        <v>0</v>
      </c>
      <c r="AP82" s="2">
        <f t="shared" si="69"/>
        <v>0</v>
      </c>
      <c r="AQ82" s="2">
        <f t="shared" si="69"/>
        <v>0</v>
      </c>
      <c r="AR82" s="2">
        <f t="shared" si="69"/>
        <v>270571.55</v>
      </c>
      <c r="AS82" s="2">
        <f t="shared" si="69"/>
        <v>0</v>
      </c>
      <c r="AT82" s="2">
        <f t="shared" si="69"/>
        <v>0</v>
      </c>
      <c r="AU82" s="2">
        <f t="shared" ref="AU82:BZ82" si="70">AU92</f>
        <v>270571.55</v>
      </c>
      <c r="AV82" s="2">
        <f t="shared" si="70"/>
        <v>88239</v>
      </c>
      <c r="AW82" s="2">
        <f t="shared" si="70"/>
        <v>88239</v>
      </c>
      <c r="AX82" s="2">
        <f t="shared" si="70"/>
        <v>0</v>
      </c>
      <c r="AY82" s="2">
        <f t="shared" si="70"/>
        <v>88239</v>
      </c>
      <c r="AZ82" s="2">
        <f t="shared" si="70"/>
        <v>0</v>
      </c>
      <c r="BA82" s="2">
        <f t="shared" si="70"/>
        <v>0</v>
      </c>
      <c r="BB82" s="2">
        <f t="shared" si="70"/>
        <v>0</v>
      </c>
      <c r="BC82" s="2">
        <f t="shared" si="70"/>
        <v>0</v>
      </c>
      <c r="BD82" s="2">
        <f t="shared" si="70"/>
        <v>0</v>
      </c>
      <c r="BE82" s="2">
        <f t="shared" si="70"/>
        <v>0</v>
      </c>
      <c r="BF82" s="2">
        <f t="shared" si="70"/>
        <v>0</v>
      </c>
      <c r="BG82" s="2">
        <f t="shared" si="70"/>
        <v>0</v>
      </c>
      <c r="BH82" s="2">
        <f t="shared" si="70"/>
        <v>0</v>
      </c>
      <c r="BI82" s="2">
        <f t="shared" si="70"/>
        <v>0</v>
      </c>
      <c r="BJ82" s="2">
        <f t="shared" si="70"/>
        <v>0</v>
      </c>
      <c r="BK82" s="2">
        <f t="shared" si="70"/>
        <v>0</v>
      </c>
      <c r="BL82" s="2">
        <f t="shared" si="70"/>
        <v>0</v>
      </c>
      <c r="BM82" s="2">
        <f t="shared" si="70"/>
        <v>0</v>
      </c>
      <c r="BN82" s="2">
        <f t="shared" si="70"/>
        <v>0</v>
      </c>
      <c r="BO82" s="2">
        <f t="shared" si="70"/>
        <v>0</v>
      </c>
      <c r="BP82" s="2">
        <f t="shared" si="70"/>
        <v>0</v>
      </c>
      <c r="BQ82" s="2">
        <f t="shared" si="70"/>
        <v>0</v>
      </c>
      <c r="BR82" s="2">
        <f t="shared" si="70"/>
        <v>0</v>
      </c>
      <c r="BS82" s="2">
        <f t="shared" si="70"/>
        <v>0</v>
      </c>
      <c r="BT82" s="2">
        <f t="shared" si="70"/>
        <v>0</v>
      </c>
      <c r="BU82" s="2">
        <f t="shared" si="70"/>
        <v>0</v>
      </c>
      <c r="BV82" s="2">
        <f t="shared" si="70"/>
        <v>0</v>
      </c>
      <c r="BW82" s="2">
        <f t="shared" si="70"/>
        <v>0</v>
      </c>
      <c r="BX82" s="2">
        <f t="shared" si="70"/>
        <v>0</v>
      </c>
      <c r="BY82" s="2">
        <f t="shared" si="70"/>
        <v>0</v>
      </c>
      <c r="BZ82" s="2">
        <f t="shared" si="70"/>
        <v>0</v>
      </c>
      <c r="CA82" s="2">
        <f t="shared" ref="CA82:DF82" si="71">CA92</f>
        <v>270571.55</v>
      </c>
      <c r="CB82" s="2">
        <f t="shared" si="71"/>
        <v>0</v>
      </c>
      <c r="CC82" s="2">
        <f t="shared" si="71"/>
        <v>0</v>
      </c>
      <c r="CD82" s="2">
        <f t="shared" si="71"/>
        <v>270571.55</v>
      </c>
      <c r="CE82" s="2">
        <f t="shared" si="71"/>
        <v>88239</v>
      </c>
      <c r="CF82" s="2">
        <f t="shared" si="71"/>
        <v>88239</v>
      </c>
      <c r="CG82" s="2">
        <f t="shared" si="71"/>
        <v>0</v>
      </c>
      <c r="CH82" s="2">
        <f t="shared" si="71"/>
        <v>88239</v>
      </c>
      <c r="CI82" s="2">
        <f t="shared" si="71"/>
        <v>0</v>
      </c>
      <c r="CJ82" s="2">
        <f t="shared" si="71"/>
        <v>0</v>
      </c>
      <c r="CK82" s="2">
        <f t="shared" si="71"/>
        <v>0</v>
      </c>
      <c r="CL82" s="2">
        <f t="shared" si="71"/>
        <v>0</v>
      </c>
      <c r="CM82" s="2">
        <f t="shared" si="71"/>
        <v>0</v>
      </c>
      <c r="CN82" s="2">
        <f t="shared" si="71"/>
        <v>0</v>
      </c>
      <c r="CO82" s="2">
        <f t="shared" si="71"/>
        <v>0</v>
      </c>
      <c r="CP82" s="2">
        <f t="shared" si="71"/>
        <v>0</v>
      </c>
      <c r="CQ82" s="2">
        <f t="shared" si="71"/>
        <v>0</v>
      </c>
      <c r="CR82" s="2">
        <f t="shared" si="71"/>
        <v>0</v>
      </c>
      <c r="CS82" s="2">
        <f t="shared" si="71"/>
        <v>0</v>
      </c>
      <c r="CT82" s="2">
        <f t="shared" si="71"/>
        <v>0</v>
      </c>
      <c r="CU82" s="2">
        <f t="shared" si="71"/>
        <v>0</v>
      </c>
      <c r="CV82" s="2">
        <f t="shared" si="71"/>
        <v>0</v>
      </c>
      <c r="CW82" s="2">
        <f t="shared" si="71"/>
        <v>0</v>
      </c>
      <c r="CX82" s="2">
        <f t="shared" si="71"/>
        <v>0</v>
      </c>
      <c r="CY82" s="2">
        <f t="shared" si="71"/>
        <v>0</v>
      </c>
      <c r="CZ82" s="2">
        <f t="shared" si="71"/>
        <v>0</v>
      </c>
      <c r="DA82" s="2">
        <f t="shared" si="71"/>
        <v>0</v>
      </c>
      <c r="DB82" s="2">
        <f t="shared" si="71"/>
        <v>0</v>
      </c>
      <c r="DC82" s="2">
        <f t="shared" si="71"/>
        <v>0</v>
      </c>
      <c r="DD82" s="2">
        <f t="shared" si="71"/>
        <v>0</v>
      </c>
      <c r="DE82" s="2">
        <f t="shared" si="71"/>
        <v>0</v>
      </c>
      <c r="DF82" s="2">
        <f t="shared" si="71"/>
        <v>0</v>
      </c>
      <c r="DG82" s="3">
        <f t="shared" ref="DG82:EL82" si="72">DG92</f>
        <v>0</v>
      </c>
      <c r="DH82" s="3">
        <f t="shared" si="72"/>
        <v>0</v>
      </c>
      <c r="DI82" s="3">
        <f t="shared" si="72"/>
        <v>0</v>
      </c>
      <c r="DJ82" s="3">
        <f t="shared" si="72"/>
        <v>0</v>
      </c>
      <c r="DK82" s="3">
        <f t="shared" si="72"/>
        <v>0</v>
      </c>
      <c r="DL82" s="3">
        <f t="shared" si="72"/>
        <v>0</v>
      </c>
      <c r="DM82" s="3">
        <f t="shared" si="72"/>
        <v>0</v>
      </c>
      <c r="DN82" s="3">
        <f t="shared" si="72"/>
        <v>0</v>
      </c>
      <c r="DO82" s="3">
        <f t="shared" si="72"/>
        <v>0</v>
      </c>
      <c r="DP82" s="3">
        <f t="shared" si="72"/>
        <v>0</v>
      </c>
      <c r="DQ82" s="3">
        <f t="shared" si="72"/>
        <v>0</v>
      </c>
      <c r="DR82" s="3">
        <f t="shared" si="72"/>
        <v>0</v>
      </c>
      <c r="DS82" s="3">
        <f t="shared" si="72"/>
        <v>0</v>
      </c>
      <c r="DT82" s="3">
        <f t="shared" si="72"/>
        <v>0</v>
      </c>
      <c r="DU82" s="3">
        <f t="shared" si="72"/>
        <v>0</v>
      </c>
      <c r="DV82" s="3">
        <f t="shared" si="72"/>
        <v>0</v>
      </c>
      <c r="DW82" s="3">
        <f t="shared" si="72"/>
        <v>0</v>
      </c>
      <c r="DX82" s="3">
        <f t="shared" si="72"/>
        <v>0</v>
      </c>
      <c r="DY82" s="3">
        <f t="shared" si="72"/>
        <v>0</v>
      </c>
      <c r="DZ82" s="3">
        <f t="shared" si="72"/>
        <v>0</v>
      </c>
      <c r="EA82" s="3">
        <f t="shared" si="72"/>
        <v>0</v>
      </c>
      <c r="EB82" s="3">
        <f t="shared" si="72"/>
        <v>0</v>
      </c>
      <c r="EC82" s="3">
        <f t="shared" si="72"/>
        <v>0</v>
      </c>
      <c r="ED82" s="3">
        <f t="shared" si="72"/>
        <v>0</v>
      </c>
      <c r="EE82" s="3">
        <f t="shared" si="72"/>
        <v>0</v>
      </c>
      <c r="EF82" s="3">
        <f t="shared" si="72"/>
        <v>0</v>
      </c>
      <c r="EG82" s="3">
        <f t="shared" si="72"/>
        <v>0</v>
      </c>
      <c r="EH82" s="3">
        <f t="shared" si="72"/>
        <v>0</v>
      </c>
      <c r="EI82" s="3">
        <f t="shared" si="72"/>
        <v>0</v>
      </c>
      <c r="EJ82" s="3">
        <f t="shared" si="72"/>
        <v>0</v>
      </c>
      <c r="EK82" s="3">
        <f t="shared" si="72"/>
        <v>0</v>
      </c>
      <c r="EL82" s="3">
        <f t="shared" si="72"/>
        <v>0</v>
      </c>
      <c r="EM82" s="3">
        <f t="shared" ref="EM82:FR82" si="73">EM92</f>
        <v>0</v>
      </c>
      <c r="EN82" s="3">
        <f t="shared" si="73"/>
        <v>0</v>
      </c>
      <c r="EO82" s="3">
        <f t="shared" si="73"/>
        <v>0</v>
      </c>
      <c r="EP82" s="3">
        <f t="shared" si="73"/>
        <v>0</v>
      </c>
      <c r="EQ82" s="3">
        <f t="shared" si="73"/>
        <v>0</v>
      </c>
      <c r="ER82" s="3">
        <f t="shared" si="73"/>
        <v>0</v>
      </c>
      <c r="ES82" s="3">
        <f t="shared" si="73"/>
        <v>0</v>
      </c>
      <c r="ET82" s="3">
        <f t="shared" si="73"/>
        <v>0</v>
      </c>
      <c r="EU82" s="3">
        <f t="shared" si="73"/>
        <v>0</v>
      </c>
      <c r="EV82" s="3">
        <f t="shared" si="73"/>
        <v>0</v>
      </c>
      <c r="EW82" s="3">
        <f t="shared" si="73"/>
        <v>0</v>
      </c>
      <c r="EX82" s="3">
        <f t="shared" si="73"/>
        <v>0</v>
      </c>
      <c r="EY82" s="3">
        <f t="shared" si="73"/>
        <v>0</v>
      </c>
      <c r="EZ82" s="3">
        <f t="shared" si="73"/>
        <v>0</v>
      </c>
      <c r="FA82" s="3">
        <f t="shared" si="73"/>
        <v>0</v>
      </c>
      <c r="FB82" s="3">
        <f t="shared" si="73"/>
        <v>0</v>
      </c>
      <c r="FC82" s="3">
        <f t="shared" si="73"/>
        <v>0</v>
      </c>
      <c r="FD82" s="3">
        <f t="shared" si="73"/>
        <v>0</v>
      </c>
      <c r="FE82" s="3">
        <f t="shared" si="73"/>
        <v>0</v>
      </c>
      <c r="FF82" s="3">
        <f t="shared" si="73"/>
        <v>0</v>
      </c>
      <c r="FG82" s="3">
        <f t="shared" si="73"/>
        <v>0</v>
      </c>
      <c r="FH82" s="3">
        <f t="shared" si="73"/>
        <v>0</v>
      </c>
      <c r="FI82" s="3">
        <f t="shared" si="73"/>
        <v>0</v>
      </c>
      <c r="FJ82" s="3">
        <f t="shared" si="73"/>
        <v>0</v>
      </c>
      <c r="FK82" s="3">
        <f t="shared" si="73"/>
        <v>0</v>
      </c>
      <c r="FL82" s="3">
        <f t="shared" si="73"/>
        <v>0</v>
      </c>
      <c r="FM82" s="3">
        <f t="shared" si="73"/>
        <v>0</v>
      </c>
      <c r="FN82" s="3">
        <f t="shared" si="73"/>
        <v>0</v>
      </c>
      <c r="FO82" s="3">
        <f t="shared" si="73"/>
        <v>0</v>
      </c>
      <c r="FP82" s="3">
        <f t="shared" si="73"/>
        <v>0</v>
      </c>
      <c r="FQ82" s="3">
        <f t="shared" si="73"/>
        <v>0</v>
      </c>
      <c r="FR82" s="3">
        <f t="shared" si="73"/>
        <v>0</v>
      </c>
      <c r="FS82" s="3">
        <f t="shared" ref="FS82:GX82" si="74">FS92</f>
        <v>0</v>
      </c>
      <c r="FT82" s="3">
        <f t="shared" si="74"/>
        <v>0</v>
      </c>
      <c r="FU82" s="3">
        <f t="shared" si="74"/>
        <v>0</v>
      </c>
      <c r="FV82" s="3">
        <f t="shared" si="74"/>
        <v>0</v>
      </c>
      <c r="FW82" s="3">
        <f t="shared" si="74"/>
        <v>0</v>
      </c>
      <c r="FX82" s="3">
        <f t="shared" si="74"/>
        <v>0</v>
      </c>
      <c r="FY82" s="3">
        <f t="shared" si="74"/>
        <v>0</v>
      </c>
      <c r="FZ82" s="3">
        <f t="shared" si="74"/>
        <v>0</v>
      </c>
      <c r="GA82" s="3">
        <f t="shared" si="74"/>
        <v>0</v>
      </c>
      <c r="GB82" s="3">
        <f t="shared" si="74"/>
        <v>0</v>
      </c>
      <c r="GC82" s="3">
        <f t="shared" si="74"/>
        <v>0</v>
      </c>
      <c r="GD82" s="3">
        <f t="shared" si="74"/>
        <v>0</v>
      </c>
      <c r="GE82" s="3">
        <f t="shared" si="74"/>
        <v>0</v>
      </c>
      <c r="GF82" s="3">
        <f t="shared" si="74"/>
        <v>0</v>
      </c>
      <c r="GG82" s="3">
        <f t="shared" si="74"/>
        <v>0</v>
      </c>
      <c r="GH82" s="3">
        <f t="shared" si="74"/>
        <v>0</v>
      </c>
      <c r="GI82" s="3">
        <f t="shared" si="74"/>
        <v>0</v>
      </c>
      <c r="GJ82" s="3">
        <f t="shared" si="74"/>
        <v>0</v>
      </c>
      <c r="GK82" s="3">
        <f t="shared" si="74"/>
        <v>0</v>
      </c>
      <c r="GL82" s="3">
        <f t="shared" si="74"/>
        <v>0</v>
      </c>
      <c r="GM82" s="3">
        <f t="shared" si="74"/>
        <v>0</v>
      </c>
      <c r="GN82" s="3">
        <f t="shared" si="74"/>
        <v>0</v>
      </c>
      <c r="GO82" s="3">
        <f t="shared" si="74"/>
        <v>0</v>
      </c>
      <c r="GP82" s="3">
        <f t="shared" si="74"/>
        <v>0</v>
      </c>
      <c r="GQ82" s="3">
        <f t="shared" si="74"/>
        <v>0</v>
      </c>
      <c r="GR82" s="3">
        <f t="shared" si="74"/>
        <v>0</v>
      </c>
      <c r="GS82" s="3">
        <f t="shared" si="74"/>
        <v>0</v>
      </c>
      <c r="GT82" s="3">
        <f t="shared" si="74"/>
        <v>0</v>
      </c>
      <c r="GU82" s="3">
        <f t="shared" si="74"/>
        <v>0</v>
      </c>
      <c r="GV82" s="3">
        <f t="shared" si="74"/>
        <v>0</v>
      </c>
      <c r="GW82" s="3">
        <f t="shared" si="74"/>
        <v>0</v>
      </c>
      <c r="GX82" s="3">
        <f t="shared" si="74"/>
        <v>0</v>
      </c>
    </row>
    <row r="84" spans="1:245" x14ac:dyDescent="0.2">
      <c r="A84">
        <v>17</v>
      </c>
      <c r="B84">
        <v>1</v>
      </c>
      <c r="D84">
        <f>ROW(EtalonRes!A38)</f>
        <v>38</v>
      </c>
      <c r="E84" t="s">
        <v>141</v>
      </c>
      <c r="F84" t="s">
        <v>142</v>
      </c>
      <c r="G84" t="s">
        <v>143</v>
      </c>
      <c r="H84" t="s">
        <v>39</v>
      </c>
      <c r="I84">
        <f>ROUND(15,9)</f>
        <v>15</v>
      </c>
      <c r="J84">
        <v>0</v>
      </c>
      <c r="K84">
        <f>ROUND(15,9)</f>
        <v>15</v>
      </c>
      <c r="O84">
        <f t="shared" ref="O84:O90" si="75">ROUND(CP84,2)</f>
        <v>39837.300000000003</v>
      </c>
      <c r="P84">
        <f t="shared" ref="P84:P90" si="76">ROUND(CQ84*I84,2)</f>
        <v>9.4499999999999993</v>
      </c>
      <c r="Q84">
        <f t="shared" ref="Q84:Q90" si="77">ROUND(CR84*I84,2)</f>
        <v>21167.4</v>
      </c>
      <c r="R84">
        <f t="shared" ref="R84:R90" si="78">ROUND(CS84*I84,2)</f>
        <v>13421.55</v>
      </c>
      <c r="S84">
        <f t="shared" ref="S84:S90" si="79">ROUND(CT84*I84,2)</f>
        <v>18660.45</v>
      </c>
      <c r="T84">
        <f t="shared" ref="T84:T90" si="80">ROUND(CU84*I84,2)</f>
        <v>0</v>
      </c>
      <c r="U84">
        <f t="shared" ref="U84:U90" si="81">CV84*I84</f>
        <v>26.25</v>
      </c>
      <c r="V84">
        <f t="shared" ref="V84:V90" si="82">CW84*I84</f>
        <v>0</v>
      </c>
      <c r="W84">
        <f t="shared" ref="W84:W90" si="83">ROUND(CX84*I84,2)</f>
        <v>0</v>
      </c>
      <c r="X84">
        <f t="shared" ref="X84:Y90" si="84">ROUND(CY84,2)</f>
        <v>13062.32</v>
      </c>
      <c r="Y84">
        <f t="shared" si="84"/>
        <v>1866.05</v>
      </c>
      <c r="AA84">
        <v>1471531721</v>
      </c>
      <c r="AB84">
        <f t="shared" ref="AB84:AB90" si="85">ROUND((AC84+AD84+AF84),6)</f>
        <v>2655.82</v>
      </c>
      <c r="AC84">
        <f>ROUND((ES84),6)</f>
        <v>0.63</v>
      </c>
      <c r="AD84">
        <f t="shared" ref="AD84:AD90" si="86">ROUND((((ET84)-(EU84))+AE84),6)</f>
        <v>1411.16</v>
      </c>
      <c r="AE84">
        <f>ROUND((EU84),6)</f>
        <v>894.77</v>
      </c>
      <c r="AF84">
        <f>ROUND((EV84),6)</f>
        <v>1244.03</v>
      </c>
      <c r="AG84">
        <f t="shared" ref="AG84:AG90" si="87">ROUND((AP84),6)</f>
        <v>0</v>
      </c>
      <c r="AH84">
        <f>(EW84)</f>
        <v>1.75</v>
      </c>
      <c r="AI84">
        <f>(EX84)</f>
        <v>0</v>
      </c>
      <c r="AJ84">
        <f t="shared" ref="AJ84:AJ90" si="88">(AS84)</f>
        <v>0</v>
      </c>
      <c r="AK84">
        <v>2655.82</v>
      </c>
      <c r="AL84">
        <v>0.63</v>
      </c>
      <c r="AM84">
        <v>1411.16</v>
      </c>
      <c r="AN84">
        <v>894.77</v>
      </c>
      <c r="AO84">
        <v>1244.03</v>
      </c>
      <c r="AP84">
        <v>0</v>
      </c>
      <c r="AQ84">
        <v>1.75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144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ref="CP84:CP90" si="89">(P84+Q84+S84)</f>
        <v>39837.300000000003</v>
      </c>
      <c r="CQ84">
        <f t="shared" ref="CQ84:CQ90" si="90">(AC84*BC84*AW84)</f>
        <v>0.63</v>
      </c>
      <c r="CR84">
        <f t="shared" ref="CR84:CR90" si="91">((((ET84)*BB84-(EU84)*BS84)+AE84*BS84)*AV84)</f>
        <v>1411.16</v>
      </c>
      <c r="CS84">
        <f t="shared" ref="CS84:CS90" si="92">(AE84*BS84*AV84)</f>
        <v>894.77</v>
      </c>
      <c r="CT84">
        <f t="shared" ref="CT84:CT90" si="93">(AF84*BA84*AV84)</f>
        <v>1244.03</v>
      </c>
      <c r="CU84">
        <f t="shared" ref="CU84:CU90" si="94">AG84</f>
        <v>0</v>
      </c>
      <c r="CV84">
        <f t="shared" ref="CV84:CV90" si="95">(AH84*AV84)</f>
        <v>1.75</v>
      </c>
      <c r="CW84">
        <f t="shared" ref="CW84:CX90" si="96">AI84</f>
        <v>0</v>
      </c>
      <c r="CX84">
        <f t="shared" si="96"/>
        <v>0</v>
      </c>
      <c r="CY84">
        <f t="shared" ref="CY84:CY90" si="97">((S84*BZ84)/100)</f>
        <v>13062.315000000001</v>
      </c>
      <c r="CZ84">
        <f t="shared" ref="CZ84:CZ90" si="98">((S84*CA84)/100)</f>
        <v>1866.0450000000001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39</v>
      </c>
      <c r="DW84" t="s">
        <v>39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21</v>
      </c>
      <c r="EH84">
        <v>0</v>
      </c>
      <c r="EI84" t="s">
        <v>3</v>
      </c>
      <c r="EJ84">
        <v>4</v>
      </c>
      <c r="EK84">
        <v>0</v>
      </c>
      <c r="EL84" t="s">
        <v>22</v>
      </c>
      <c r="EM84" t="s">
        <v>23</v>
      </c>
      <c r="EO84" t="s">
        <v>3</v>
      </c>
      <c r="EQ84">
        <v>0</v>
      </c>
      <c r="ER84">
        <v>2655.82</v>
      </c>
      <c r="ES84">
        <v>0.63</v>
      </c>
      <c r="ET84">
        <v>1411.16</v>
      </c>
      <c r="EU84">
        <v>894.77</v>
      </c>
      <c r="EV84">
        <v>1244.03</v>
      </c>
      <c r="EW84">
        <v>1.75</v>
      </c>
      <c r="EX84">
        <v>0</v>
      </c>
      <c r="EY84">
        <v>0</v>
      </c>
      <c r="FQ84">
        <v>0</v>
      </c>
      <c r="FR84">
        <f t="shared" ref="FR84:FR90" si="99">ROUND(IF(BI84=3,GM84,0),2)</f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-1602766855</v>
      </c>
      <c r="GG84">
        <v>2</v>
      </c>
      <c r="GH84">
        <v>1</v>
      </c>
      <c r="GI84">
        <v>-2</v>
      </c>
      <c r="GJ84">
        <v>0</v>
      </c>
      <c r="GK84">
        <f>ROUND(R84*(R12)/100,2)</f>
        <v>14495.27</v>
      </c>
      <c r="GL84">
        <f t="shared" ref="GL84:GL90" si="100">ROUND(IF(AND(BH84=3,BI84=3,FS84&lt;&gt;0),P84,0),2)</f>
        <v>0</v>
      </c>
      <c r="GM84">
        <f t="shared" ref="GM84:GM90" si="101">ROUND(O84+X84+Y84+GK84,2)+GX84</f>
        <v>69260.94</v>
      </c>
      <c r="GN84">
        <f t="shared" ref="GN84:GN90" si="102">IF(OR(BI84=0,BI84=1),GM84-GX84,0)</f>
        <v>0</v>
      </c>
      <c r="GO84">
        <f t="shared" ref="GO84:GO90" si="103">IF(BI84=2,GM84-GX84,0)</f>
        <v>0</v>
      </c>
      <c r="GP84">
        <f t="shared" ref="GP84:GP90" si="104">IF(BI84=4,GM84-GX84,0)</f>
        <v>69260.94</v>
      </c>
      <c r="GR84">
        <v>0</v>
      </c>
      <c r="GS84">
        <v>3</v>
      </c>
      <c r="GT84">
        <v>0</v>
      </c>
      <c r="GU84" t="s">
        <v>3</v>
      </c>
      <c r="GV84">
        <f t="shared" ref="GV84:GV90" si="105">ROUND((GT84),6)</f>
        <v>0</v>
      </c>
      <c r="GW84">
        <v>1</v>
      </c>
      <c r="GX84">
        <f t="shared" ref="GX84:GX90" si="106">ROUND(HC84*I84,2)</f>
        <v>0</v>
      </c>
      <c r="HA84">
        <v>0</v>
      </c>
      <c r="HB84">
        <v>0</v>
      </c>
      <c r="HC84">
        <f t="shared" ref="HC84:HC90" si="107">GV84*GW84</f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ROW(EtalonRes!A43)</f>
        <v>43</v>
      </c>
      <c r="E85" t="s">
        <v>145</v>
      </c>
      <c r="F85" t="s">
        <v>146</v>
      </c>
      <c r="G85" t="s">
        <v>147</v>
      </c>
      <c r="H85" t="s">
        <v>39</v>
      </c>
      <c r="I85">
        <f>ROUND(15,9)</f>
        <v>15</v>
      </c>
      <c r="J85">
        <v>0</v>
      </c>
      <c r="K85">
        <f>ROUND(15,9)</f>
        <v>15</v>
      </c>
      <c r="O85">
        <f t="shared" si="75"/>
        <v>145837.5</v>
      </c>
      <c r="P85">
        <f t="shared" si="76"/>
        <v>88220.1</v>
      </c>
      <c r="Q85">
        <f t="shared" si="77"/>
        <v>397.95</v>
      </c>
      <c r="R85">
        <f t="shared" si="78"/>
        <v>16.95</v>
      </c>
      <c r="S85">
        <f t="shared" si="79"/>
        <v>57219.45</v>
      </c>
      <c r="T85">
        <f t="shared" si="80"/>
        <v>0</v>
      </c>
      <c r="U85">
        <f t="shared" si="81"/>
        <v>85.5</v>
      </c>
      <c r="V85">
        <f t="shared" si="82"/>
        <v>0</v>
      </c>
      <c r="W85">
        <f t="shared" si="83"/>
        <v>0</v>
      </c>
      <c r="X85">
        <f t="shared" si="84"/>
        <v>40053.620000000003</v>
      </c>
      <c r="Y85">
        <f t="shared" si="84"/>
        <v>5721.95</v>
      </c>
      <c r="AA85">
        <v>1471531721</v>
      </c>
      <c r="AB85">
        <f t="shared" si="85"/>
        <v>9722.5</v>
      </c>
      <c r="AC85">
        <f>ROUND((ES85),6)</f>
        <v>5881.34</v>
      </c>
      <c r="AD85">
        <f t="shared" si="86"/>
        <v>26.53</v>
      </c>
      <c r="AE85">
        <f>ROUND((EU85),6)</f>
        <v>1.1299999999999999</v>
      </c>
      <c r="AF85">
        <f>ROUND((EV85),6)</f>
        <v>3814.63</v>
      </c>
      <c r="AG85">
        <f t="shared" si="87"/>
        <v>0</v>
      </c>
      <c r="AH85">
        <f>(EW85)</f>
        <v>5.7</v>
      </c>
      <c r="AI85">
        <f>(EX85)</f>
        <v>0</v>
      </c>
      <c r="AJ85">
        <f t="shared" si="88"/>
        <v>0</v>
      </c>
      <c r="AK85">
        <v>9722.5</v>
      </c>
      <c r="AL85">
        <v>5881.34</v>
      </c>
      <c r="AM85">
        <v>26.53</v>
      </c>
      <c r="AN85">
        <v>1.1299999999999999</v>
      </c>
      <c r="AO85">
        <v>3814.63</v>
      </c>
      <c r="AP85">
        <v>0</v>
      </c>
      <c r="AQ85">
        <v>5.7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148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9"/>
        <v>145837.5</v>
      </c>
      <c r="CQ85">
        <f t="shared" si="90"/>
        <v>5881.34</v>
      </c>
      <c r="CR85">
        <f t="shared" si="91"/>
        <v>26.53</v>
      </c>
      <c r="CS85">
        <f t="shared" si="92"/>
        <v>1.1299999999999999</v>
      </c>
      <c r="CT85">
        <f t="shared" si="93"/>
        <v>3814.63</v>
      </c>
      <c r="CU85">
        <f t="shared" si="94"/>
        <v>0</v>
      </c>
      <c r="CV85">
        <f t="shared" si="95"/>
        <v>5.7</v>
      </c>
      <c r="CW85">
        <f t="shared" si="96"/>
        <v>0</v>
      </c>
      <c r="CX85">
        <f t="shared" si="96"/>
        <v>0</v>
      </c>
      <c r="CY85">
        <f t="shared" si="97"/>
        <v>40053.614999999998</v>
      </c>
      <c r="CZ85">
        <f t="shared" si="98"/>
        <v>5721.9449999999997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39</v>
      </c>
      <c r="DW85" t="s">
        <v>39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21</v>
      </c>
      <c r="EH85">
        <v>0</v>
      </c>
      <c r="EI85" t="s">
        <v>3</v>
      </c>
      <c r="EJ85">
        <v>4</v>
      </c>
      <c r="EK85">
        <v>0</v>
      </c>
      <c r="EL85" t="s">
        <v>22</v>
      </c>
      <c r="EM85" t="s">
        <v>23</v>
      </c>
      <c r="EO85" t="s">
        <v>3</v>
      </c>
      <c r="EQ85">
        <v>0</v>
      </c>
      <c r="ER85">
        <v>9722.5</v>
      </c>
      <c r="ES85">
        <v>5881.34</v>
      </c>
      <c r="ET85">
        <v>26.53</v>
      </c>
      <c r="EU85">
        <v>1.1299999999999999</v>
      </c>
      <c r="EV85">
        <v>3814.63</v>
      </c>
      <c r="EW85">
        <v>5.7</v>
      </c>
      <c r="EX85">
        <v>0</v>
      </c>
      <c r="EY85">
        <v>0</v>
      </c>
      <c r="FQ85">
        <v>0</v>
      </c>
      <c r="FR85">
        <f t="shared" si="99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-929184264</v>
      </c>
      <c r="GG85">
        <v>2</v>
      </c>
      <c r="GH85">
        <v>1</v>
      </c>
      <c r="GI85">
        <v>-2</v>
      </c>
      <c r="GJ85">
        <v>0</v>
      </c>
      <c r="GK85">
        <f>ROUND(R85*(R12)/100,2)</f>
        <v>18.309999999999999</v>
      </c>
      <c r="GL85">
        <f t="shared" si="100"/>
        <v>0</v>
      </c>
      <c r="GM85">
        <f t="shared" si="101"/>
        <v>191631.38</v>
      </c>
      <c r="GN85">
        <f t="shared" si="102"/>
        <v>0</v>
      </c>
      <c r="GO85">
        <f t="shared" si="103"/>
        <v>0</v>
      </c>
      <c r="GP85">
        <f t="shared" si="104"/>
        <v>191631.38</v>
      </c>
      <c r="GR85">
        <v>0</v>
      </c>
      <c r="GS85">
        <v>3</v>
      </c>
      <c r="GT85">
        <v>0</v>
      </c>
      <c r="GU85" t="s">
        <v>3</v>
      </c>
      <c r="GV85">
        <f t="shared" si="105"/>
        <v>0</v>
      </c>
      <c r="GW85">
        <v>1</v>
      </c>
      <c r="GX85">
        <f t="shared" si="106"/>
        <v>0</v>
      </c>
      <c r="HA85">
        <v>0</v>
      </c>
      <c r="HB85">
        <v>0</v>
      </c>
      <c r="HC85">
        <f t="shared" si="107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D86">
        <f>ROW(EtalonRes!A44)</f>
        <v>44</v>
      </c>
      <c r="E86" t="s">
        <v>3</v>
      </c>
      <c r="F86" t="s">
        <v>149</v>
      </c>
      <c r="G86" t="s">
        <v>150</v>
      </c>
      <c r="H86" t="s">
        <v>39</v>
      </c>
      <c r="I86">
        <v>13</v>
      </c>
      <c r="J86">
        <v>0</v>
      </c>
      <c r="K86">
        <v>13</v>
      </c>
      <c r="O86">
        <f t="shared" si="75"/>
        <v>14664.65</v>
      </c>
      <c r="P86">
        <f t="shared" si="76"/>
        <v>0</v>
      </c>
      <c r="Q86">
        <f t="shared" si="77"/>
        <v>0</v>
      </c>
      <c r="R86">
        <f t="shared" si="78"/>
        <v>0</v>
      </c>
      <c r="S86">
        <f t="shared" si="79"/>
        <v>14664.65</v>
      </c>
      <c r="T86">
        <f t="shared" si="80"/>
        <v>0</v>
      </c>
      <c r="U86">
        <f t="shared" si="81"/>
        <v>22.1</v>
      </c>
      <c r="V86">
        <f t="shared" si="82"/>
        <v>0</v>
      </c>
      <c r="W86">
        <f t="shared" si="83"/>
        <v>0</v>
      </c>
      <c r="X86">
        <f t="shared" si="84"/>
        <v>10265.26</v>
      </c>
      <c r="Y86">
        <f t="shared" si="84"/>
        <v>1466.47</v>
      </c>
      <c r="AA86">
        <v>-1</v>
      </c>
      <c r="AB86">
        <f t="shared" si="85"/>
        <v>1128.05</v>
      </c>
      <c r="AC86">
        <f>ROUND((ES86),6)</f>
        <v>0</v>
      </c>
      <c r="AD86">
        <f t="shared" si="86"/>
        <v>0</v>
      </c>
      <c r="AE86">
        <f>ROUND((EU86),6)</f>
        <v>0</v>
      </c>
      <c r="AF86">
        <f>ROUND(((EV86*5)),6)</f>
        <v>1128.05</v>
      </c>
      <c r="AG86">
        <f t="shared" si="87"/>
        <v>0</v>
      </c>
      <c r="AH86">
        <f>((EW86*5))</f>
        <v>1.7000000000000002</v>
      </c>
      <c r="AI86">
        <f>(EX86)</f>
        <v>0</v>
      </c>
      <c r="AJ86">
        <f t="shared" si="88"/>
        <v>0</v>
      </c>
      <c r="AK86">
        <v>225.61</v>
      </c>
      <c r="AL86">
        <v>0</v>
      </c>
      <c r="AM86">
        <v>0</v>
      </c>
      <c r="AN86">
        <v>0</v>
      </c>
      <c r="AO86">
        <v>225.61</v>
      </c>
      <c r="AP86">
        <v>0</v>
      </c>
      <c r="AQ86">
        <v>0.34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151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9"/>
        <v>14664.65</v>
      </c>
      <c r="CQ86">
        <f t="shared" si="90"/>
        <v>0</v>
      </c>
      <c r="CR86">
        <f t="shared" si="91"/>
        <v>0</v>
      </c>
      <c r="CS86">
        <f t="shared" si="92"/>
        <v>0</v>
      </c>
      <c r="CT86">
        <f t="shared" si="93"/>
        <v>1128.05</v>
      </c>
      <c r="CU86">
        <f t="shared" si="94"/>
        <v>0</v>
      </c>
      <c r="CV86">
        <f t="shared" si="95"/>
        <v>1.7000000000000002</v>
      </c>
      <c r="CW86">
        <f t="shared" si="96"/>
        <v>0</v>
      </c>
      <c r="CX86">
        <f t="shared" si="96"/>
        <v>0</v>
      </c>
      <c r="CY86">
        <f t="shared" si="97"/>
        <v>10265.254999999999</v>
      </c>
      <c r="CZ86">
        <f t="shared" si="98"/>
        <v>1466.4649999999999</v>
      </c>
      <c r="DC86" t="s">
        <v>3</v>
      </c>
      <c r="DD86" t="s">
        <v>3</v>
      </c>
      <c r="DE86" t="s">
        <v>3</v>
      </c>
      <c r="DF86" t="s">
        <v>3</v>
      </c>
      <c r="DG86" t="s">
        <v>152</v>
      </c>
      <c r="DH86" t="s">
        <v>3</v>
      </c>
      <c r="DI86" t="s">
        <v>152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16987630</v>
      </c>
      <c r="DV86" t="s">
        <v>39</v>
      </c>
      <c r="DW86" t="s">
        <v>39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1441815344</v>
      </c>
      <c r="EF86">
        <v>1</v>
      </c>
      <c r="EG86" t="s">
        <v>21</v>
      </c>
      <c r="EH86">
        <v>0</v>
      </c>
      <c r="EI86" t="s">
        <v>3</v>
      </c>
      <c r="EJ86">
        <v>4</v>
      </c>
      <c r="EK86">
        <v>0</v>
      </c>
      <c r="EL86" t="s">
        <v>22</v>
      </c>
      <c r="EM86" t="s">
        <v>23</v>
      </c>
      <c r="EO86" t="s">
        <v>3</v>
      </c>
      <c r="EQ86">
        <v>1024</v>
      </c>
      <c r="ER86">
        <v>225.61</v>
      </c>
      <c r="ES86">
        <v>0</v>
      </c>
      <c r="ET86">
        <v>0</v>
      </c>
      <c r="EU86">
        <v>0</v>
      </c>
      <c r="EV86">
        <v>225.61</v>
      </c>
      <c r="EW86">
        <v>0.34</v>
      </c>
      <c r="EX86">
        <v>0</v>
      </c>
      <c r="EY86">
        <v>0</v>
      </c>
      <c r="FQ86">
        <v>0</v>
      </c>
      <c r="FR86">
        <f t="shared" si="99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-882349918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100"/>
        <v>0</v>
      </c>
      <c r="GM86">
        <f t="shared" si="101"/>
        <v>26396.38</v>
      </c>
      <c r="GN86">
        <f t="shared" si="102"/>
        <v>0</v>
      </c>
      <c r="GO86">
        <f t="shared" si="103"/>
        <v>0</v>
      </c>
      <c r="GP86">
        <f t="shared" si="104"/>
        <v>26396.38</v>
      </c>
      <c r="GR86">
        <v>0</v>
      </c>
      <c r="GS86">
        <v>3</v>
      </c>
      <c r="GT86">
        <v>0</v>
      </c>
      <c r="GU86" t="s">
        <v>3</v>
      </c>
      <c r="GV86">
        <f t="shared" si="105"/>
        <v>0</v>
      </c>
      <c r="GW86">
        <v>1</v>
      </c>
      <c r="GX86">
        <f t="shared" si="106"/>
        <v>0</v>
      </c>
      <c r="HA86">
        <v>0</v>
      </c>
      <c r="HB86">
        <v>0</v>
      </c>
      <c r="HC86">
        <f t="shared" si="107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D87">
        <f>ROW(EtalonRes!A47)</f>
        <v>47</v>
      </c>
      <c r="E87" t="s">
        <v>3</v>
      </c>
      <c r="F87" t="s">
        <v>153</v>
      </c>
      <c r="G87" t="s">
        <v>154</v>
      </c>
      <c r="H87" t="s">
        <v>39</v>
      </c>
      <c r="I87">
        <v>13</v>
      </c>
      <c r="J87">
        <v>0</v>
      </c>
      <c r="K87">
        <v>13</v>
      </c>
      <c r="O87">
        <f t="shared" si="75"/>
        <v>134511.78</v>
      </c>
      <c r="P87">
        <f t="shared" si="76"/>
        <v>5114.8500000000004</v>
      </c>
      <c r="Q87">
        <f t="shared" si="77"/>
        <v>0</v>
      </c>
      <c r="R87">
        <f t="shared" si="78"/>
        <v>0</v>
      </c>
      <c r="S87">
        <f t="shared" si="79"/>
        <v>129396.93</v>
      </c>
      <c r="T87">
        <f t="shared" si="80"/>
        <v>0</v>
      </c>
      <c r="U87">
        <f t="shared" si="81"/>
        <v>195</v>
      </c>
      <c r="V87">
        <f t="shared" si="82"/>
        <v>0</v>
      </c>
      <c r="W87">
        <f t="shared" si="83"/>
        <v>0</v>
      </c>
      <c r="X87">
        <f t="shared" si="84"/>
        <v>90577.85</v>
      </c>
      <c r="Y87">
        <f t="shared" si="84"/>
        <v>12939.69</v>
      </c>
      <c r="AA87">
        <v>-1</v>
      </c>
      <c r="AB87">
        <f t="shared" si="85"/>
        <v>10347.06</v>
      </c>
      <c r="AC87">
        <f>ROUND(((ES87*3)),6)</f>
        <v>393.45</v>
      </c>
      <c r="AD87">
        <f t="shared" si="86"/>
        <v>0</v>
      </c>
      <c r="AE87">
        <f>ROUND((EU87),6)</f>
        <v>0</v>
      </c>
      <c r="AF87">
        <f>ROUND(((EV87*3)),6)</f>
        <v>9953.61</v>
      </c>
      <c r="AG87">
        <f t="shared" si="87"/>
        <v>0</v>
      </c>
      <c r="AH87">
        <f>((EW87*3))</f>
        <v>15</v>
      </c>
      <c r="AI87">
        <f>(EX87)</f>
        <v>0</v>
      </c>
      <c r="AJ87">
        <f t="shared" si="88"/>
        <v>0</v>
      </c>
      <c r="AK87">
        <v>3449.02</v>
      </c>
      <c r="AL87">
        <v>131.15</v>
      </c>
      <c r="AM87">
        <v>0</v>
      </c>
      <c r="AN87">
        <v>0</v>
      </c>
      <c r="AO87">
        <v>3317.87</v>
      </c>
      <c r="AP87">
        <v>0</v>
      </c>
      <c r="AQ87">
        <v>5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4</v>
      </c>
      <c r="BJ87" t="s">
        <v>155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9"/>
        <v>134511.78</v>
      </c>
      <c r="CQ87">
        <f t="shared" si="90"/>
        <v>393.45</v>
      </c>
      <c r="CR87">
        <f t="shared" si="91"/>
        <v>0</v>
      </c>
      <c r="CS87">
        <f t="shared" si="92"/>
        <v>0</v>
      </c>
      <c r="CT87">
        <f t="shared" si="93"/>
        <v>9953.61</v>
      </c>
      <c r="CU87">
        <f t="shared" si="94"/>
        <v>0</v>
      </c>
      <c r="CV87">
        <f t="shared" si="95"/>
        <v>15</v>
      </c>
      <c r="CW87">
        <f t="shared" si="96"/>
        <v>0</v>
      </c>
      <c r="CX87">
        <f t="shared" si="96"/>
        <v>0</v>
      </c>
      <c r="CY87">
        <f t="shared" si="97"/>
        <v>90577.850999999995</v>
      </c>
      <c r="CZ87">
        <f t="shared" si="98"/>
        <v>12939.692999999997</v>
      </c>
      <c r="DC87" t="s">
        <v>3</v>
      </c>
      <c r="DD87" t="s">
        <v>156</v>
      </c>
      <c r="DE87" t="s">
        <v>3</v>
      </c>
      <c r="DF87" t="s">
        <v>3</v>
      </c>
      <c r="DG87" t="s">
        <v>156</v>
      </c>
      <c r="DH87" t="s">
        <v>3</v>
      </c>
      <c r="DI87" t="s">
        <v>156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16987630</v>
      </c>
      <c r="DV87" t="s">
        <v>39</v>
      </c>
      <c r="DW87" t="s">
        <v>39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1441815344</v>
      </c>
      <c r="EF87">
        <v>1</v>
      </c>
      <c r="EG87" t="s">
        <v>21</v>
      </c>
      <c r="EH87">
        <v>0</v>
      </c>
      <c r="EI87" t="s">
        <v>3</v>
      </c>
      <c r="EJ87">
        <v>4</v>
      </c>
      <c r="EK87">
        <v>0</v>
      </c>
      <c r="EL87" t="s">
        <v>22</v>
      </c>
      <c r="EM87" t="s">
        <v>23</v>
      </c>
      <c r="EO87" t="s">
        <v>3</v>
      </c>
      <c r="EQ87">
        <v>1024</v>
      </c>
      <c r="ER87">
        <v>3449.02</v>
      </c>
      <c r="ES87">
        <v>131.15</v>
      </c>
      <c r="ET87">
        <v>0</v>
      </c>
      <c r="EU87">
        <v>0</v>
      </c>
      <c r="EV87">
        <v>3317.87</v>
      </c>
      <c r="EW87">
        <v>5</v>
      </c>
      <c r="EX87">
        <v>0</v>
      </c>
      <c r="EY87">
        <v>0</v>
      </c>
      <c r="FQ87">
        <v>0</v>
      </c>
      <c r="FR87">
        <f t="shared" si="99"/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-1665906653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100"/>
        <v>0</v>
      </c>
      <c r="GM87">
        <f t="shared" si="101"/>
        <v>238029.32</v>
      </c>
      <c r="GN87">
        <f t="shared" si="102"/>
        <v>0</v>
      </c>
      <c r="GO87">
        <f t="shared" si="103"/>
        <v>0</v>
      </c>
      <c r="GP87">
        <f t="shared" si="104"/>
        <v>238029.32</v>
      </c>
      <c r="GR87">
        <v>0</v>
      </c>
      <c r="GS87">
        <v>3</v>
      </c>
      <c r="GT87">
        <v>0</v>
      </c>
      <c r="GU87" t="s">
        <v>3</v>
      </c>
      <c r="GV87">
        <f t="shared" si="105"/>
        <v>0</v>
      </c>
      <c r="GW87">
        <v>1</v>
      </c>
      <c r="GX87">
        <f t="shared" si="106"/>
        <v>0</v>
      </c>
      <c r="HA87">
        <v>0</v>
      </c>
      <c r="HB87">
        <v>0</v>
      </c>
      <c r="HC87">
        <f t="shared" si="107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D88">
        <f>ROW(EtalonRes!A52)</f>
        <v>52</v>
      </c>
      <c r="E88" t="s">
        <v>3</v>
      </c>
      <c r="F88" t="s">
        <v>157</v>
      </c>
      <c r="G88" t="s">
        <v>158</v>
      </c>
      <c r="H88" t="s">
        <v>39</v>
      </c>
      <c r="I88">
        <v>13</v>
      </c>
      <c r="J88">
        <v>0</v>
      </c>
      <c r="K88">
        <v>13</v>
      </c>
      <c r="O88">
        <f t="shared" si="75"/>
        <v>578852.04</v>
      </c>
      <c r="P88">
        <f t="shared" si="76"/>
        <v>228057.96</v>
      </c>
      <c r="Q88">
        <f t="shared" si="77"/>
        <v>0</v>
      </c>
      <c r="R88">
        <f t="shared" si="78"/>
        <v>0</v>
      </c>
      <c r="S88">
        <f t="shared" si="79"/>
        <v>350794.08</v>
      </c>
      <c r="T88">
        <f t="shared" si="80"/>
        <v>0</v>
      </c>
      <c r="U88">
        <f t="shared" si="81"/>
        <v>624</v>
      </c>
      <c r="V88">
        <f t="shared" si="82"/>
        <v>0</v>
      </c>
      <c r="W88">
        <f t="shared" si="83"/>
        <v>0</v>
      </c>
      <c r="X88">
        <f t="shared" si="84"/>
        <v>245555.86</v>
      </c>
      <c r="Y88">
        <f t="shared" si="84"/>
        <v>35079.410000000003</v>
      </c>
      <c r="AA88">
        <v>-1</v>
      </c>
      <c r="AB88">
        <f t="shared" si="85"/>
        <v>44527.08</v>
      </c>
      <c r="AC88">
        <f>ROUND(((ES88*3)),6)</f>
        <v>17542.919999999998</v>
      </c>
      <c r="AD88">
        <f t="shared" si="86"/>
        <v>0</v>
      </c>
      <c r="AE88">
        <f>ROUND((EU88),6)</f>
        <v>0</v>
      </c>
      <c r="AF88">
        <f>ROUND(((EV88*3)),6)</f>
        <v>26984.16</v>
      </c>
      <c r="AG88">
        <f t="shared" si="87"/>
        <v>0</v>
      </c>
      <c r="AH88">
        <f>((EW88*3))</f>
        <v>48</v>
      </c>
      <c r="AI88">
        <f>(EX88)</f>
        <v>0</v>
      </c>
      <c r="AJ88">
        <f t="shared" si="88"/>
        <v>0</v>
      </c>
      <c r="AK88">
        <v>14842.36</v>
      </c>
      <c r="AL88">
        <v>5847.64</v>
      </c>
      <c r="AM88">
        <v>0</v>
      </c>
      <c r="AN88">
        <v>0</v>
      </c>
      <c r="AO88">
        <v>8994.7199999999993</v>
      </c>
      <c r="AP88">
        <v>0</v>
      </c>
      <c r="AQ88">
        <v>16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159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9"/>
        <v>578852.04</v>
      </c>
      <c r="CQ88">
        <f t="shared" si="90"/>
        <v>17542.919999999998</v>
      </c>
      <c r="CR88">
        <f t="shared" si="91"/>
        <v>0</v>
      </c>
      <c r="CS88">
        <f t="shared" si="92"/>
        <v>0</v>
      </c>
      <c r="CT88">
        <f t="shared" si="93"/>
        <v>26984.16</v>
      </c>
      <c r="CU88">
        <f t="shared" si="94"/>
        <v>0</v>
      </c>
      <c r="CV88">
        <f t="shared" si="95"/>
        <v>48</v>
      </c>
      <c r="CW88">
        <f t="shared" si="96"/>
        <v>0</v>
      </c>
      <c r="CX88">
        <f t="shared" si="96"/>
        <v>0</v>
      </c>
      <c r="CY88">
        <f t="shared" si="97"/>
        <v>245555.85600000003</v>
      </c>
      <c r="CZ88">
        <f t="shared" si="98"/>
        <v>35079.408000000003</v>
      </c>
      <c r="DC88" t="s">
        <v>3</v>
      </c>
      <c r="DD88" t="s">
        <v>156</v>
      </c>
      <c r="DE88" t="s">
        <v>3</v>
      </c>
      <c r="DF88" t="s">
        <v>3</v>
      </c>
      <c r="DG88" t="s">
        <v>156</v>
      </c>
      <c r="DH88" t="s">
        <v>3</v>
      </c>
      <c r="DI88" t="s">
        <v>156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16987630</v>
      </c>
      <c r="DV88" t="s">
        <v>39</v>
      </c>
      <c r="DW88" t="s">
        <v>39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1441815344</v>
      </c>
      <c r="EF88">
        <v>1</v>
      </c>
      <c r="EG88" t="s">
        <v>21</v>
      </c>
      <c r="EH88">
        <v>0</v>
      </c>
      <c r="EI88" t="s">
        <v>3</v>
      </c>
      <c r="EJ88">
        <v>4</v>
      </c>
      <c r="EK88">
        <v>0</v>
      </c>
      <c r="EL88" t="s">
        <v>22</v>
      </c>
      <c r="EM88" t="s">
        <v>23</v>
      </c>
      <c r="EO88" t="s">
        <v>3</v>
      </c>
      <c r="EQ88">
        <v>1024</v>
      </c>
      <c r="ER88">
        <v>14842.36</v>
      </c>
      <c r="ES88">
        <v>5847.64</v>
      </c>
      <c r="ET88">
        <v>0</v>
      </c>
      <c r="EU88">
        <v>0</v>
      </c>
      <c r="EV88">
        <v>8994.7199999999993</v>
      </c>
      <c r="EW88">
        <v>16</v>
      </c>
      <c r="EX88">
        <v>0</v>
      </c>
      <c r="EY88">
        <v>0</v>
      </c>
      <c r="FQ88">
        <v>0</v>
      </c>
      <c r="FR88">
        <f t="shared" si="99"/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-593076646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si="100"/>
        <v>0</v>
      </c>
      <c r="GM88">
        <f t="shared" si="101"/>
        <v>859487.31</v>
      </c>
      <c r="GN88">
        <f t="shared" si="102"/>
        <v>0</v>
      </c>
      <c r="GO88">
        <f t="shared" si="103"/>
        <v>0</v>
      </c>
      <c r="GP88">
        <f t="shared" si="104"/>
        <v>859487.31</v>
      </c>
      <c r="GR88">
        <v>0</v>
      </c>
      <c r="GS88">
        <v>3</v>
      </c>
      <c r="GT88">
        <v>0</v>
      </c>
      <c r="GU88" t="s">
        <v>3</v>
      </c>
      <c r="GV88">
        <f t="shared" si="105"/>
        <v>0</v>
      </c>
      <c r="GW88">
        <v>1</v>
      </c>
      <c r="GX88">
        <f t="shared" si="106"/>
        <v>0</v>
      </c>
      <c r="HA88">
        <v>0</v>
      </c>
      <c r="HB88">
        <v>0</v>
      </c>
      <c r="HC88">
        <f t="shared" si="107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D89">
        <f>ROW(EtalonRes!A54)</f>
        <v>54</v>
      </c>
      <c r="E89" t="s">
        <v>3</v>
      </c>
      <c r="F89" t="s">
        <v>160</v>
      </c>
      <c r="G89" t="s">
        <v>161</v>
      </c>
      <c r="H89" t="s">
        <v>39</v>
      </c>
      <c r="I89">
        <v>13</v>
      </c>
      <c r="J89">
        <v>0</v>
      </c>
      <c r="K89">
        <v>13</v>
      </c>
      <c r="O89">
        <f t="shared" si="75"/>
        <v>329483.7</v>
      </c>
      <c r="P89">
        <f t="shared" si="76"/>
        <v>614.25</v>
      </c>
      <c r="Q89">
        <f t="shared" si="77"/>
        <v>0</v>
      </c>
      <c r="R89">
        <f t="shared" si="78"/>
        <v>0</v>
      </c>
      <c r="S89">
        <f t="shared" si="79"/>
        <v>328869.45</v>
      </c>
      <c r="T89">
        <f t="shared" si="80"/>
        <v>0</v>
      </c>
      <c r="U89">
        <f t="shared" si="81"/>
        <v>585</v>
      </c>
      <c r="V89">
        <f t="shared" si="82"/>
        <v>0</v>
      </c>
      <c r="W89">
        <f t="shared" si="83"/>
        <v>0</v>
      </c>
      <c r="X89">
        <f t="shared" si="84"/>
        <v>230208.62</v>
      </c>
      <c r="Y89">
        <f t="shared" si="84"/>
        <v>32886.949999999997</v>
      </c>
      <c r="AA89">
        <v>-1</v>
      </c>
      <c r="AB89">
        <f t="shared" si="85"/>
        <v>25344.9</v>
      </c>
      <c r="AC89">
        <f>ROUND(((ES89*5)),6)</f>
        <v>47.25</v>
      </c>
      <c r="AD89">
        <f t="shared" si="86"/>
        <v>0</v>
      </c>
      <c r="AE89">
        <f>ROUND((EU89),6)</f>
        <v>0</v>
      </c>
      <c r="AF89">
        <f>ROUND(((EV89*5)),6)</f>
        <v>25297.65</v>
      </c>
      <c r="AG89">
        <f t="shared" si="87"/>
        <v>0</v>
      </c>
      <c r="AH89">
        <f>((EW89*5))</f>
        <v>45</v>
      </c>
      <c r="AI89">
        <f>(EX89)</f>
        <v>0</v>
      </c>
      <c r="AJ89">
        <f t="shared" si="88"/>
        <v>0</v>
      </c>
      <c r="AK89">
        <v>5068.9799999999996</v>
      </c>
      <c r="AL89">
        <v>9.4499999999999993</v>
      </c>
      <c r="AM89">
        <v>0</v>
      </c>
      <c r="AN89">
        <v>0</v>
      </c>
      <c r="AO89">
        <v>5059.53</v>
      </c>
      <c r="AP89">
        <v>0</v>
      </c>
      <c r="AQ89">
        <v>9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162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9"/>
        <v>329483.7</v>
      </c>
      <c r="CQ89">
        <f t="shared" si="90"/>
        <v>47.25</v>
      </c>
      <c r="CR89">
        <f t="shared" si="91"/>
        <v>0</v>
      </c>
      <c r="CS89">
        <f t="shared" si="92"/>
        <v>0</v>
      </c>
      <c r="CT89">
        <f t="shared" si="93"/>
        <v>25297.65</v>
      </c>
      <c r="CU89">
        <f t="shared" si="94"/>
        <v>0</v>
      </c>
      <c r="CV89">
        <f t="shared" si="95"/>
        <v>45</v>
      </c>
      <c r="CW89">
        <f t="shared" si="96"/>
        <v>0</v>
      </c>
      <c r="CX89">
        <f t="shared" si="96"/>
        <v>0</v>
      </c>
      <c r="CY89">
        <f t="shared" si="97"/>
        <v>230208.61499999999</v>
      </c>
      <c r="CZ89">
        <f t="shared" si="98"/>
        <v>32886.945</v>
      </c>
      <c r="DC89" t="s">
        <v>3</v>
      </c>
      <c r="DD89" t="s">
        <v>152</v>
      </c>
      <c r="DE89" t="s">
        <v>3</v>
      </c>
      <c r="DF89" t="s">
        <v>3</v>
      </c>
      <c r="DG89" t="s">
        <v>152</v>
      </c>
      <c r="DH89" t="s">
        <v>3</v>
      </c>
      <c r="DI89" t="s">
        <v>152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16987630</v>
      </c>
      <c r="DV89" t="s">
        <v>39</v>
      </c>
      <c r="DW89" t="s">
        <v>39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1441815344</v>
      </c>
      <c r="EF89">
        <v>1</v>
      </c>
      <c r="EG89" t="s">
        <v>21</v>
      </c>
      <c r="EH89">
        <v>0</v>
      </c>
      <c r="EI89" t="s">
        <v>3</v>
      </c>
      <c r="EJ89">
        <v>4</v>
      </c>
      <c r="EK89">
        <v>0</v>
      </c>
      <c r="EL89" t="s">
        <v>22</v>
      </c>
      <c r="EM89" t="s">
        <v>23</v>
      </c>
      <c r="EO89" t="s">
        <v>3</v>
      </c>
      <c r="EQ89">
        <v>1024</v>
      </c>
      <c r="ER89">
        <v>5068.9799999999996</v>
      </c>
      <c r="ES89">
        <v>9.4499999999999993</v>
      </c>
      <c r="ET89">
        <v>0</v>
      </c>
      <c r="EU89">
        <v>0</v>
      </c>
      <c r="EV89">
        <v>5059.53</v>
      </c>
      <c r="EW89">
        <v>9</v>
      </c>
      <c r="EX89">
        <v>0</v>
      </c>
      <c r="EY89">
        <v>0</v>
      </c>
      <c r="FQ89">
        <v>0</v>
      </c>
      <c r="FR89">
        <f t="shared" si="99"/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1005377869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100"/>
        <v>0</v>
      </c>
      <c r="GM89">
        <f t="shared" si="101"/>
        <v>592579.27</v>
      </c>
      <c r="GN89">
        <f t="shared" si="102"/>
        <v>0</v>
      </c>
      <c r="GO89">
        <f t="shared" si="103"/>
        <v>0</v>
      </c>
      <c r="GP89">
        <f t="shared" si="104"/>
        <v>592579.27</v>
      </c>
      <c r="GR89">
        <v>0</v>
      </c>
      <c r="GS89">
        <v>3</v>
      </c>
      <c r="GT89">
        <v>0</v>
      </c>
      <c r="GU89" t="s">
        <v>3</v>
      </c>
      <c r="GV89">
        <f t="shared" si="105"/>
        <v>0</v>
      </c>
      <c r="GW89">
        <v>1</v>
      </c>
      <c r="GX89">
        <f t="shared" si="106"/>
        <v>0</v>
      </c>
      <c r="HA89">
        <v>0</v>
      </c>
      <c r="HB89">
        <v>0</v>
      </c>
      <c r="HC89">
        <f t="shared" si="107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D90">
        <f>ROW(EtalonRes!A56)</f>
        <v>56</v>
      </c>
      <c r="E90" t="s">
        <v>163</v>
      </c>
      <c r="F90" t="s">
        <v>164</v>
      </c>
      <c r="G90" t="s">
        <v>165</v>
      </c>
      <c r="H90" t="s">
        <v>39</v>
      </c>
      <c r="I90">
        <f>ROUND(15,9)</f>
        <v>15</v>
      </c>
      <c r="J90">
        <v>0</v>
      </c>
      <c r="K90">
        <f>ROUND(15,9)</f>
        <v>15</v>
      </c>
      <c r="O90">
        <f t="shared" si="75"/>
        <v>5381.55</v>
      </c>
      <c r="P90">
        <f t="shared" si="76"/>
        <v>9.4499999999999993</v>
      </c>
      <c r="Q90">
        <f t="shared" si="77"/>
        <v>0</v>
      </c>
      <c r="R90">
        <f t="shared" si="78"/>
        <v>0</v>
      </c>
      <c r="S90">
        <f t="shared" si="79"/>
        <v>5372.1</v>
      </c>
      <c r="T90">
        <f t="shared" si="80"/>
        <v>0</v>
      </c>
      <c r="U90">
        <f t="shared" si="81"/>
        <v>8.6999999999999993</v>
      </c>
      <c r="V90">
        <f t="shared" si="82"/>
        <v>0</v>
      </c>
      <c r="W90">
        <f t="shared" si="83"/>
        <v>0</v>
      </c>
      <c r="X90">
        <f t="shared" si="84"/>
        <v>3760.47</v>
      </c>
      <c r="Y90">
        <f t="shared" si="84"/>
        <v>537.21</v>
      </c>
      <c r="AA90">
        <v>1471531721</v>
      </c>
      <c r="AB90">
        <f t="shared" si="85"/>
        <v>358.77</v>
      </c>
      <c r="AC90">
        <f>ROUND((ES90),6)</f>
        <v>0.63</v>
      </c>
      <c r="AD90">
        <f t="shared" si="86"/>
        <v>0</v>
      </c>
      <c r="AE90">
        <f>ROUND((EU90),6)</f>
        <v>0</v>
      </c>
      <c r="AF90">
        <f>ROUND((EV90),6)</f>
        <v>358.14</v>
      </c>
      <c r="AG90">
        <f t="shared" si="87"/>
        <v>0</v>
      </c>
      <c r="AH90">
        <f>(EW90)</f>
        <v>0.57999999999999996</v>
      </c>
      <c r="AI90">
        <f>(EX90)</f>
        <v>0</v>
      </c>
      <c r="AJ90">
        <f t="shared" si="88"/>
        <v>0</v>
      </c>
      <c r="AK90">
        <v>358.77</v>
      </c>
      <c r="AL90">
        <v>0.63</v>
      </c>
      <c r="AM90">
        <v>0</v>
      </c>
      <c r="AN90">
        <v>0</v>
      </c>
      <c r="AO90">
        <v>358.14</v>
      </c>
      <c r="AP90">
        <v>0</v>
      </c>
      <c r="AQ90">
        <v>0.57999999999999996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166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9"/>
        <v>5381.55</v>
      </c>
      <c r="CQ90">
        <f t="shared" si="90"/>
        <v>0.63</v>
      </c>
      <c r="CR90">
        <f t="shared" si="91"/>
        <v>0</v>
      </c>
      <c r="CS90">
        <f t="shared" si="92"/>
        <v>0</v>
      </c>
      <c r="CT90">
        <f t="shared" si="93"/>
        <v>358.14</v>
      </c>
      <c r="CU90">
        <f t="shared" si="94"/>
        <v>0</v>
      </c>
      <c r="CV90">
        <f t="shared" si="95"/>
        <v>0.57999999999999996</v>
      </c>
      <c r="CW90">
        <f t="shared" si="96"/>
        <v>0</v>
      </c>
      <c r="CX90">
        <f t="shared" si="96"/>
        <v>0</v>
      </c>
      <c r="CY90">
        <f t="shared" si="97"/>
        <v>3760.47</v>
      </c>
      <c r="CZ90">
        <f t="shared" si="98"/>
        <v>537.21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16987630</v>
      </c>
      <c r="DV90" t="s">
        <v>39</v>
      </c>
      <c r="DW90" t="s">
        <v>39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1441815344</v>
      </c>
      <c r="EF90">
        <v>1</v>
      </c>
      <c r="EG90" t="s">
        <v>21</v>
      </c>
      <c r="EH90">
        <v>0</v>
      </c>
      <c r="EI90" t="s">
        <v>3</v>
      </c>
      <c r="EJ90">
        <v>4</v>
      </c>
      <c r="EK90">
        <v>0</v>
      </c>
      <c r="EL90" t="s">
        <v>22</v>
      </c>
      <c r="EM90" t="s">
        <v>23</v>
      </c>
      <c r="EO90" t="s">
        <v>3</v>
      </c>
      <c r="EQ90">
        <v>0</v>
      </c>
      <c r="ER90">
        <v>358.77</v>
      </c>
      <c r="ES90">
        <v>0.63</v>
      </c>
      <c r="ET90">
        <v>0</v>
      </c>
      <c r="EU90">
        <v>0</v>
      </c>
      <c r="EV90">
        <v>358.14</v>
      </c>
      <c r="EW90">
        <v>0.57999999999999996</v>
      </c>
      <c r="EX90">
        <v>0</v>
      </c>
      <c r="EY90">
        <v>0</v>
      </c>
      <c r="FQ90">
        <v>0</v>
      </c>
      <c r="FR90">
        <f t="shared" si="99"/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-1603277612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 t="shared" si="100"/>
        <v>0</v>
      </c>
      <c r="GM90">
        <f t="shared" si="101"/>
        <v>9679.23</v>
      </c>
      <c r="GN90">
        <f t="shared" si="102"/>
        <v>0</v>
      </c>
      <c r="GO90">
        <f t="shared" si="103"/>
        <v>0</v>
      </c>
      <c r="GP90">
        <f t="shared" si="104"/>
        <v>9679.23</v>
      </c>
      <c r="GR90">
        <v>0</v>
      </c>
      <c r="GS90">
        <v>3</v>
      </c>
      <c r="GT90">
        <v>0</v>
      </c>
      <c r="GU90" t="s">
        <v>3</v>
      </c>
      <c r="GV90">
        <f t="shared" si="105"/>
        <v>0</v>
      </c>
      <c r="GW90">
        <v>1</v>
      </c>
      <c r="GX90">
        <f t="shared" si="106"/>
        <v>0</v>
      </c>
      <c r="HA90">
        <v>0</v>
      </c>
      <c r="HB90">
        <v>0</v>
      </c>
      <c r="HC90">
        <f t="shared" si="107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2" spans="1:245" x14ac:dyDescent="0.2">
      <c r="A92" s="2">
        <v>51</v>
      </c>
      <c r="B92" s="2">
        <f>B80</f>
        <v>1</v>
      </c>
      <c r="C92" s="2">
        <f>A80</f>
        <v>5</v>
      </c>
      <c r="D92" s="2">
        <f>ROW(A80)</f>
        <v>80</v>
      </c>
      <c r="E92" s="2"/>
      <c r="F92" s="2" t="str">
        <f>IF(F80&lt;&gt;"",F80,"")</f>
        <v>Новый подраздел</v>
      </c>
      <c r="G92" s="2" t="str">
        <f>IF(G80&lt;&gt;"",G80,"")</f>
        <v>Техническое помещение общее на модуль</v>
      </c>
      <c r="H92" s="2">
        <v>0</v>
      </c>
      <c r="I92" s="2"/>
      <c r="J92" s="2"/>
      <c r="K92" s="2"/>
      <c r="L92" s="2"/>
      <c r="M92" s="2"/>
      <c r="N92" s="2"/>
      <c r="O92" s="2">
        <f t="shared" ref="O92:T92" si="108">ROUND(AB92,2)</f>
        <v>191056.35</v>
      </c>
      <c r="P92" s="2">
        <f t="shared" si="108"/>
        <v>88239</v>
      </c>
      <c r="Q92" s="2">
        <f t="shared" si="108"/>
        <v>21565.35</v>
      </c>
      <c r="R92" s="2">
        <f t="shared" si="108"/>
        <v>13438.5</v>
      </c>
      <c r="S92" s="2">
        <f t="shared" si="108"/>
        <v>81252</v>
      </c>
      <c r="T92" s="2">
        <f t="shared" si="108"/>
        <v>0</v>
      </c>
      <c r="U92" s="2">
        <f>AH92</f>
        <v>120.45</v>
      </c>
      <c r="V92" s="2">
        <f>AI92</f>
        <v>0</v>
      </c>
      <c r="W92" s="2">
        <f>ROUND(AJ92,2)</f>
        <v>0</v>
      </c>
      <c r="X92" s="2">
        <f>ROUND(AK92,2)</f>
        <v>56876.41</v>
      </c>
      <c r="Y92" s="2">
        <f>ROUND(AL92,2)</f>
        <v>8125.21</v>
      </c>
      <c r="Z92" s="2"/>
      <c r="AA92" s="2"/>
      <c r="AB92" s="2">
        <f>ROUND(SUMIF(AA84:AA90,"=1471531721",O84:O90),2)</f>
        <v>191056.35</v>
      </c>
      <c r="AC92" s="2">
        <f>ROUND(SUMIF(AA84:AA90,"=1471531721",P84:P90),2)</f>
        <v>88239</v>
      </c>
      <c r="AD92" s="2">
        <f>ROUND(SUMIF(AA84:AA90,"=1471531721",Q84:Q90),2)</f>
        <v>21565.35</v>
      </c>
      <c r="AE92" s="2">
        <f>ROUND(SUMIF(AA84:AA90,"=1471531721",R84:R90),2)</f>
        <v>13438.5</v>
      </c>
      <c r="AF92" s="2">
        <f>ROUND(SUMIF(AA84:AA90,"=1471531721",S84:S90),2)</f>
        <v>81252</v>
      </c>
      <c r="AG92" s="2">
        <f>ROUND(SUMIF(AA84:AA90,"=1471531721",T84:T90),2)</f>
        <v>0</v>
      </c>
      <c r="AH92" s="2">
        <f>SUMIF(AA84:AA90,"=1471531721",U84:U90)</f>
        <v>120.45</v>
      </c>
      <c r="AI92" s="2">
        <f>SUMIF(AA84:AA90,"=1471531721",V84:V90)</f>
        <v>0</v>
      </c>
      <c r="AJ92" s="2">
        <f>ROUND(SUMIF(AA84:AA90,"=1471531721",W84:W90),2)</f>
        <v>0</v>
      </c>
      <c r="AK92" s="2">
        <f>ROUND(SUMIF(AA84:AA90,"=1471531721",X84:X90),2)</f>
        <v>56876.41</v>
      </c>
      <c r="AL92" s="2">
        <f>ROUND(SUMIF(AA84:AA90,"=1471531721",Y84:Y90),2)</f>
        <v>8125.21</v>
      </c>
      <c r="AM92" s="2"/>
      <c r="AN92" s="2"/>
      <c r="AO92" s="2">
        <f t="shared" ref="AO92:BD92" si="109">ROUND(BX92,2)</f>
        <v>0</v>
      </c>
      <c r="AP92" s="2">
        <f t="shared" si="109"/>
        <v>0</v>
      </c>
      <c r="AQ92" s="2">
        <f t="shared" si="109"/>
        <v>0</v>
      </c>
      <c r="AR92" s="2">
        <f t="shared" si="109"/>
        <v>270571.55</v>
      </c>
      <c r="AS92" s="2">
        <f t="shared" si="109"/>
        <v>0</v>
      </c>
      <c r="AT92" s="2">
        <f t="shared" si="109"/>
        <v>0</v>
      </c>
      <c r="AU92" s="2">
        <f t="shared" si="109"/>
        <v>270571.55</v>
      </c>
      <c r="AV92" s="2">
        <f t="shared" si="109"/>
        <v>88239</v>
      </c>
      <c r="AW92" s="2">
        <f t="shared" si="109"/>
        <v>88239</v>
      </c>
      <c r="AX92" s="2">
        <f t="shared" si="109"/>
        <v>0</v>
      </c>
      <c r="AY92" s="2">
        <f t="shared" si="109"/>
        <v>88239</v>
      </c>
      <c r="AZ92" s="2">
        <f t="shared" si="109"/>
        <v>0</v>
      </c>
      <c r="BA92" s="2">
        <f t="shared" si="109"/>
        <v>0</v>
      </c>
      <c r="BB92" s="2">
        <f t="shared" si="109"/>
        <v>0</v>
      </c>
      <c r="BC92" s="2">
        <f t="shared" si="109"/>
        <v>0</v>
      </c>
      <c r="BD92" s="2">
        <f t="shared" si="109"/>
        <v>0</v>
      </c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>
        <f>ROUND(SUMIF(AA84:AA90,"=1471531721",FQ84:FQ90),2)</f>
        <v>0</v>
      </c>
      <c r="BY92" s="2">
        <f>ROUND(SUMIF(AA84:AA90,"=1471531721",FR84:FR90),2)</f>
        <v>0</v>
      </c>
      <c r="BZ92" s="2">
        <f>ROUND(SUMIF(AA84:AA90,"=1471531721",GL84:GL90),2)</f>
        <v>0</v>
      </c>
      <c r="CA92" s="2">
        <f>ROUND(SUMIF(AA84:AA90,"=1471531721",GM84:GM90),2)</f>
        <v>270571.55</v>
      </c>
      <c r="CB92" s="2">
        <f>ROUND(SUMIF(AA84:AA90,"=1471531721",GN84:GN90),2)</f>
        <v>0</v>
      </c>
      <c r="CC92" s="2">
        <f>ROUND(SUMIF(AA84:AA90,"=1471531721",GO84:GO90),2)</f>
        <v>0</v>
      </c>
      <c r="CD92" s="2">
        <f>ROUND(SUMIF(AA84:AA90,"=1471531721",GP84:GP90),2)</f>
        <v>270571.55</v>
      </c>
      <c r="CE92" s="2">
        <f>AC92-BX92</f>
        <v>88239</v>
      </c>
      <c r="CF92" s="2">
        <f>AC92-BY92</f>
        <v>88239</v>
      </c>
      <c r="CG92" s="2">
        <f>BX92-BZ92</f>
        <v>0</v>
      </c>
      <c r="CH92" s="2">
        <f>AC92-BX92-BY92+BZ92</f>
        <v>88239</v>
      </c>
      <c r="CI92" s="2">
        <f>BY92-BZ92</f>
        <v>0</v>
      </c>
      <c r="CJ92" s="2">
        <f>ROUND(SUMIF(AA84:AA90,"=1471531721",GX84:GX90),2)</f>
        <v>0</v>
      </c>
      <c r="CK92" s="2">
        <f>ROUND(SUMIF(AA84:AA90,"=1471531721",GY84:GY90),2)</f>
        <v>0</v>
      </c>
      <c r="CL92" s="2">
        <f>ROUND(SUMIF(AA84:AA90,"=1471531721",GZ84:GZ90),2)</f>
        <v>0</v>
      </c>
      <c r="CM92" s="2">
        <f>ROUND(SUMIF(AA84:AA90,"=1471531721",HD84:HD90),2)</f>
        <v>0</v>
      </c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>
        <v>0</v>
      </c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201</v>
      </c>
      <c r="F94" s="4">
        <f>ROUND(Source!O92,O94)</f>
        <v>191056.35</v>
      </c>
      <c r="G94" s="4" t="s">
        <v>86</v>
      </c>
      <c r="H94" s="4" t="s">
        <v>87</v>
      </c>
      <c r="I94" s="4"/>
      <c r="J94" s="4"/>
      <c r="K94" s="4">
        <v>201</v>
      </c>
      <c r="L94" s="4">
        <v>1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202</v>
      </c>
      <c r="F95" s="4">
        <f>ROUND(Source!P92,O95)</f>
        <v>88239</v>
      </c>
      <c r="G95" s="4" t="s">
        <v>88</v>
      </c>
      <c r="H95" s="4" t="s">
        <v>89</v>
      </c>
      <c r="I95" s="4"/>
      <c r="J95" s="4"/>
      <c r="K95" s="4">
        <v>202</v>
      </c>
      <c r="L95" s="4">
        <v>2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222</v>
      </c>
      <c r="F96" s="4">
        <f>ROUND(Source!AO92,O96)</f>
        <v>0</v>
      </c>
      <c r="G96" s="4" t="s">
        <v>90</v>
      </c>
      <c r="H96" s="4" t="s">
        <v>91</v>
      </c>
      <c r="I96" s="4"/>
      <c r="J96" s="4"/>
      <c r="K96" s="4">
        <v>222</v>
      </c>
      <c r="L96" s="4">
        <v>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225</v>
      </c>
      <c r="F97" s="4">
        <f>ROUND(Source!AV92,O97)</f>
        <v>88239</v>
      </c>
      <c r="G97" s="4" t="s">
        <v>92</v>
      </c>
      <c r="H97" s="4" t="s">
        <v>93</v>
      </c>
      <c r="I97" s="4"/>
      <c r="J97" s="4"/>
      <c r="K97" s="4">
        <v>225</v>
      </c>
      <c r="L97" s="4">
        <v>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226</v>
      </c>
      <c r="F98" s="4">
        <f>ROUND(Source!AW92,O98)</f>
        <v>88239</v>
      </c>
      <c r="G98" s="4" t="s">
        <v>94</v>
      </c>
      <c r="H98" s="4" t="s">
        <v>95</v>
      </c>
      <c r="I98" s="4"/>
      <c r="J98" s="4"/>
      <c r="K98" s="4">
        <v>226</v>
      </c>
      <c r="L98" s="4">
        <v>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227</v>
      </c>
      <c r="F99" s="4">
        <f>ROUND(Source!AX92,O99)</f>
        <v>0</v>
      </c>
      <c r="G99" s="4" t="s">
        <v>96</v>
      </c>
      <c r="H99" s="4" t="s">
        <v>97</v>
      </c>
      <c r="I99" s="4"/>
      <c r="J99" s="4"/>
      <c r="K99" s="4">
        <v>227</v>
      </c>
      <c r="L99" s="4">
        <v>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228</v>
      </c>
      <c r="F100" s="4">
        <f>ROUND(Source!AY92,O100)</f>
        <v>88239</v>
      </c>
      <c r="G100" s="4" t="s">
        <v>98</v>
      </c>
      <c r="H100" s="4" t="s">
        <v>99</v>
      </c>
      <c r="I100" s="4"/>
      <c r="J100" s="4"/>
      <c r="K100" s="4">
        <v>228</v>
      </c>
      <c r="L100" s="4">
        <v>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216</v>
      </c>
      <c r="F101" s="4">
        <f>ROUND(Source!AP92,O101)</f>
        <v>0</v>
      </c>
      <c r="G101" s="4" t="s">
        <v>100</v>
      </c>
      <c r="H101" s="4" t="s">
        <v>101</v>
      </c>
      <c r="I101" s="4"/>
      <c r="J101" s="4"/>
      <c r="K101" s="4">
        <v>216</v>
      </c>
      <c r="L101" s="4">
        <v>8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223</v>
      </c>
      <c r="F102" s="4">
        <f>ROUND(Source!AQ92,O102)</f>
        <v>0</v>
      </c>
      <c r="G102" s="4" t="s">
        <v>102</v>
      </c>
      <c r="H102" s="4" t="s">
        <v>103</v>
      </c>
      <c r="I102" s="4"/>
      <c r="J102" s="4"/>
      <c r="K102" s="4">
        <v>223</v>
      </c>
      <c r="L102" s="4">
        <v>9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229</v>
      </c>
      <c r="F103" s="4">
        <f>ROUND(Source!AZ92,O103)</f>
        <v>0</v>
      </c>
      <c r="G103" s="4" t="s">
        <v>104</v>
      </c>
      <c r="H103" s="4" t="s">
        <v>105</v>
      </c>
      <c r="I103" s="4"/>
      <c r="J103" s="4"/>
      <c r="K103" s="4">
        <v>229</v>
      </c>
      <c r="L103" s="4">
        <v>10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203</v>
      </c>
      <c r="F104" s="4">
        <f>ROUND(Source!Q92,O104)</f>
        <v>21565.35</v>
      </c>
      <c r="G104" s="4" t="s">
        <v>106</v>
      </c>
      <c r="H104" s="4" t="s">
        <v>107</v>
      </c>
      <c r="I104" s="4"/>
      <c r="J104" s="4"/>
      <c r="K104" s="4">
        <v>203</v>
      </c>
      <c r="L104" s="4">
        <v>11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231</v>
      </c>
      <c r="F105" s="4">
        <f>ROUND(Source!BB92,O105)</f>
        <v>0</v>
      </c>
      <c r="G105" s="4" t="s">
        <v>108</v>
      </c>
      <c r="H105" s="4" t="s">
        <v>109</v>
      </c>
      <c r="I105" s="4"/>
      <c r="J105" s="4"/>
      <c r="K105" s="4">
        <v>231</v>
      </c>
      <c r="L105" s="4">
        <v>12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204</v>
      </c>
      <c r="F106" s="4">
        <f>ROUND(Source!R92,O106)</f>
        <v>13438.5</v>
      </c>
      <c r="G106" s="4" t="s">
        <v>110</v>
      </c>
      <c r="H106" s="4" t="s">
        <v>111</v>
      </c>
      <c r="I106" s="4"/>
      <c r="J106" s="4"/>
      <c r="K106" s="4">
        <v>204</v>
      </c>
      <c r="L106" s="4">
        <v>13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205</v>
      </c>
      <c r="F107" s="4">
        <f>ROUND(Source!S92,O107)</f>
        <v>81252</v>
      </c>
      <c r="G107" s="4" t="s">
        <v>112</v>
      </c>
      <c r="H107" s="4" t="s">
        <v>113</v>
      </c>
      <c r="I107" s="4"/>
      <c r="J107" s="4"/>
      <c r="K107" s="4">
        <v>205</v>
      </c>
      <c r="L107" s="4">
        <v>14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232</v>
      </c>
      <c r="F108" s="4">
        <f>ROUND(Source!BC92,O108)</f>
        <v>0</v>
      </c>
      <c r="G108" s="4" t="s">
        <v>114</v>
      </c>
      <c r="H108" s="4" t="s">
        <v>115</v>
      </c>
      <c r="I108" s="4"/>
      <c r="J108" s="4"/>
      <c r="K108" s="4">
        <v>232</v>
      </c>
      <c r="L108" s="4">
        <v>15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214</v>
      </c>
      <c r="F109" s="4">
        <f>ROUND(Source!AS92,O109)</f>
        <v>0</v>
      </c>
      <c r="G109" s="4" t="s">
        <v>116</v>
      </c>
      <c r="H109" s="4" t="s">
        <v>117</v>
      </c>
      <c r="I109" s="4"/>
      <c r="J109" s="4"/>
      <c r="K109" s="4">
        <v>214</v>
      </c>
      <c r="L109" s="4">
        <v>16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215</v>
      </c>
      <c r="F110" s="4">
        <f>ROUND(Source!AT92,O110)</f>
        <v>0</v>
      </c>
      <c r="G110" s="4" t="s">
        <v>118</v>
      </c>
      <c r="H110" s="4" t="s">
        <v>119</v>
      </c>
      <c r="I110" s="4"/>
      <c r="J110" s="4"/>
      <c r="K110" s="4">
        <v>215</v>
      </c>
      <c r="L110" s="4">
        <v>17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217</v>
      </c>
      <c r="F111" s="4">
        <f>ROUND(Source!AU92,O111)</f>
        <v>270571.55</v>
      </c>
      <c r="G111" s="4" t="s">
        <v>120</v>
      </c>
      <c r="H111" s="4" t="s">
        <v>121</v>
      </c>
      <c r="I111" s="4"/>
      <c r="J111" s="4"/>
      <c r="K111" s="4">
        <v>217</v>
      </c>
      <c r="L111" s="4">
        <v>18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230</v>
      </c>
      <c r="F112" s="4">
        <f>ROUND(Source!BA92,O112)</f>
        <v>0</v>
      </c>
      <c r="G112" s="4" t="s">
        <v>122</v>
      </c>
      <c r="H112" s="4" t="s">
        <v>123</v>
      </c>
      <c r="I112" s="4"/>
      <c r="J112" s="4"/>
      <c r="K112" s="4">
        <v>230</v>
      </c>
      <c r="L112" s="4">
        <v>19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206</v>
      </c>
      <c r="F113" s="4">
        <f>ROUND(Source!T92,O113)</f>
        <v>0</v>
      </c>
      <c r="G113" s="4" t="s">
        <v>124</v>
      </c>
      <c r="H113" s="4" t="s">
        <v>125</v>
      </c>
      <c r="I113" s="4"/>
      <c r="J113" s="4"/>
      <c r="K113" s="4">
        <v>206</v>
      </c>
      <c r="L113" s="4">
        <v>20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207</v>
      </c>
      <c r="F114" s="4">
        <f>Source!U92</f>
        <v>120.45</v>
      </c>
      <c r="G114" s="4" t="s">
        <v>126</v>
      </c>
      <c r="H114" s="4" t="s">
        <v>127</v>
      </c>
      <c r="I114" s="4"/>
      <c r="J114" s="4"/>
      <c r="K114" s="4">
        <v>207</v>
      </c>
      <c r="L114" s="4">
        <v>21</v>
      </c>
      <c r="M114" s="4">
        <v>3</v>
      </c>
      <c r="N114" s="4" t="s">
        <v>3</v>
      </c>
      <c r="O114" s="4">
        <v>-1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208</v>
      </c>
      <c r="F115" s="4">
        <f>Source!V92</f>
        <v>0</v>
      </c>
      <c r="G115" s="4" t="s">
        <v>128</v>
      </c>
      <c r="H115" s="4" t="s">
        <v>129</v>
      </c>
      <c r="I115" s="4"/>
      <c r="J115" s="4"/>
      <c r="K115" s="4">
        <v>208</v>
      </c>
      <c r="L115" s="4">
        <v>22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209</v>
      </c>
      <c r="F116" s="4">
        <f>ROUND(Source!W92,O116)</f>
        <v>0</v>
      </c>
      <c r="G116" s="4" t="s">
        <v>130</v>
      </c>
      <c r="H116" s="4" t="s">
        <v>131</v>
      </c>
      <c r="I116" s="4"/>
      <c r="J116" s="4"/>
      <c r="K116" s="4">
        <v>209</v>
      </c>
      <c r="L116" s="4">
        <v>23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233</v>
      </c>
      <c r="F117" s="4">
        <f>ROUND(Source!BD92,O117)</f>
        <v>0</v>
      </c>
      <c r="G117" s="4" t="s">
        <v>132</v>
      </c>
      <c r="H117" s="4" t="s">
        <v>133</v>
      </c>
      <c r="I117" s="4"/>
      <c r="J117" s="4"/>
      <c r="K117" s="4">
        <v>233</v>
      </c>
      <c r="L117" s="4">
        <v>24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210</v>
      </c>
      <c r="F118" s="4">
        <f>ROUND(Source!X92,O118)</f>
        <v>56876.41</v>
      </c>
      <c r="G118" s="4" t="s">
        <v>134</v>
      </c>
      <c r="H118" s="4" t="s">
        <v>135</v>
      </c>
      <c r="I118" s="4"/>
      <c r="J118" s="4"/>
      <c r="K118" s="4">
        <v>210</v>
      </c>
      <c r="L118" s="4">
        <v>25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211</v>
      </c>
      <c r="F119" s="4">
        <f>ROUND(Source!Y92,O119)</f>
        <v>8125.21</v>
      </c>
      <c r="G119" s="4" t="s">
        <v>136</v>
      </c>
      <c r="H119" s="4" t="s">
        <v>137</v>
      </c>
      <c r="I119" s="4"/>
      <c r="J119" s="4"/>
      <c r="K119" s="4">
        <v>211</v>
      </c>
      <c r="L119" s="4">
        <v>26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224</v>
      </c>
      <c r="F120" s="4">
        <f>ROUND(Source!AR92,O120)</f>
        <v>270571.55</v>
      </c>
      <c r="G120" s="4" t="s">
        <v>138</v>
      </c>
      <c r="H120" s="4" t="s">
        <v>139</v>
      </c>
      <c r="I120" s="4"/>
      <c r="J120" s="4"/>
      <c r="K120" s="4">
        <v>224</v>
      </c>
      <c r="L120" s="4">
        <v>27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2" spans="1:245" x14ac:dyDescent="0.2">
      <c r="A122" s="1">
        <v>5</v>
      </c>
      <c r="B122" s="1">
        <v>1</v>
      </c>
      <c r="C122" s="1"/>
      <c r="D122" s="1">
        <f>ROW(A149)</f>
        <v>149</v>
      </c>
      <c r="E122" s="1"/>
      <c r="F122" s="1" t="s">
        <v>14</v>
      </c>
      <c r="G122" s="1" t="s">
        <v>167</v>
      </c>
      <c r="H122" s="1" t="s">
        <v>3</v>
      </c>
      <c r="I122" s="1">
        <v>0</v>
      </c>
      <c r="J122" s="1"/>
      <c r="K122" s="1">
        <v>0</v>
      </c>
      <c r="L122" s="1"/>
      <c r="M122" s="1" t="s">
        <v>3</v>
      </c>
      <c r="N122" s="1"/>
      <c r="O122" s="1"/>
      <c r="P122" s="1"/>
      <c r="Q122" s="1"/>
      <c r="R122" s="1"/>
      <c r="S122" s="1">
        <v>0</v>
      </c>
      <c r="T122" s="1"/>
      <c r="U122" s="1" t="s">
        <v>3</v>
      </c>
      <c r="V122" s="1">
        <v>0</v>
      </c>
      <c r="W122" s="1"/>
      <c r="X122" s="1"/>
      <c r="Y122" s="1"/>
      <c r="Z122" s="1"/>
      <c r="AA122" s="1"/>
      <c r="AB122" s="1" t="s">
        <v>3</v>
      </c>
      <c r="AC122" s="1" t="s">
        <v>3</v>
      </c>
      <c r="AD122" s="1" t="s">
        <v>3</v>
      </c>
      <c r="AE122" s="1" t="s">
        <v>3</v>
      </c>
      <c r="AF122" s="1" t="s">
        <v>3</v>
      </c>
      <c r="AG122" s="1" t="s">
        <v>3</v>
      </c>
      <c r="AH122" s="1"/>
      <c r="AI122" s="1"/>
      <c r="AJ122" s="1"/>
      <c r="AK122" s="1"/>
      <c r="AL122" s="1"/>
      <c r="AM122" s="1"/>
      <c r="AN122" s="1"/>
      <c r="AO122" s="1"/>
      <c r="AP122" s="1" t="s">
        <v>3</v>
      </c>
      <c r="AQ122" s="1" t="s">
        <v>3</v>
      </c>
      <c r="AR122" s="1" t="s">
        <v>3</v>
      </c>
      <c r="AS122" s="1"/>
      <c r="AT122" s="1"/>
      <c r="AU122" s="1"/>
      <c r="AV122" s="1"/>
      <c r="AW122" s="1"/>
      <c r="AX122" s="1"/>
      <c r="AY122" s="1"/>
      <c r="AZ122" s="1" t="s">
        <v>3</v>
      </c>
      <c r="BA122" s="1"/>
      <c r="BB122" s="1" t="s">
        <v>3</v>
      </c>
      <c r="BC122" s="1" t="s">
        <v>3</v>
      </c>
      <c r="BD122" s="1" t="s">
        <v>3</v>
      </c>
      <c r="BE122" s="1" t="s">
        <v>3</v>
      </c>
      <c r="BF122" s="1" t="s">
        <v>3</v>
      </c>
      <c r="BG122" s="1" t="s">
        <v>3</v>
      </c>
      <c r="BH122" s="1" t="s">
        <v>3</v>
      </c>
      <c r="BI122" s="1" t="s">
        <v>3</v>
      </c>
      <c r="BJ122" s="1" t="s">
        <v>3</v>
      </c>
      <c r="BK122" s="1" t="s">
        <v>3</v>
      </c>
      <c r="BL122" s="1" t="s">
        <v>3</v>
      </c>
      <c r="BM122" s="1" t="s">
        <v>3</v>
      </c>
      <c r="BN122" s="1" t="s">
        <v>3</v>
      </c>
      <c r="BO122" s="1" t="s">
        <v>3</v>
      </c>
      <c r="BP122" s="1" t="s">
        <v>3</v>
      </c>
      <c r="BQ122" s="1"/>
      <c r="BR122" s="1"/>
      <c r="BS122" s="1"/>
      <c r="BT122" s="1"/>
      <c r="BU122" s="1"/>
      <c r="BV122" s="1"/>
      <c r="BW122" s="1"/>
      <c r="BX122" s="1">
        <v>0</v>
      </c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>
        <v>0</v>
      </c>
    </row>
    <row r="124" spans="1:245" x14ac:dyDescent="0.2">
      <c r="A124" s="2">
        <v>52</v>
      </c>
      <c r="B124" s="2">
        <f t="shared" ref="B124:G124" si="110">B149</f>
        <v>1</v>
      </c>
      <c r="C124" s="2">
        <f t="shared" si="110"/>
        <v>5</v>
      </c>
      <c r="D124" s="2">
        <f t="shared" si="110"/>
        <v>122</v>
      </c>
      <c r="E124" s="2">
        <f t="shared" si="110"/>
        <v>0</v>
      </c>
      <c r="F124" s="2" t="str">
        <f t="shared" si="110"/>
        <v>Новый подраздел</v>
      </c>
      <c r="G124" s="2" t="str">
        <f t="shared" si="110"/>
        <v>Электрооборудование каждого модуля</v>
      </c>
      <c r="H124" s="2"/>
      <c r="I124" s="2"/>
      <c r="J124" s="2"/>
      <c r="K124" s="2"/>
      <c r="L124" s="2"/>
      <c r="M124" s="2"/>
      <c r="N124" s="2"/>
      <c r="O124" s="2">
        <f t="shared" ref="O124:AT124" si="111">O149</f>
        <v>360727.14</v>
      </c>
      <c r="P124" s="2">
        <f t="shared" si="111"/>
        <v>3917.64</v>
      </c>
      <c r="Q124" s="2">
        <f t="shared" si="111"/>
        <v>2202.86</v>
      </c>
      <c r="R124" s="2">
        <f t="shared" si="111"/>
        <v>1388.02</v>
      </c>
      <c r="S124" s="2">
        <f t="shared" si="111"/>
        <v>354606.64</v>
      </c>
      <c r="T124" s="2">
        <f t="shared" si="111"/>
        <v>0</v>
      </c>
      <c r="U124" s="2">
        <f t="shared" si="111"/>
        <v>586.72799999999995</v>
      </c>
      <c r="V124" s="2">
        <f t="shared" si="111"/>
        <v>0</v>
      </c>
      <c r="W124" s="2">
        <f t="shared" si="111"/>
        <v>0</v>
      </c>
      <c r="X124" s="2">
        <f t="shared" si="111"/>
        <v>248224.65</v>
      </c>
      <c r="Y124" s="2">
        <f t="shared" si="111"/>
        <v>35460.68</v>
      </c>
      <c r="Z124" s="2">
        <f t="shared" si="111"/>
        <v>0</v>
      </c>
      <c r="AA124" s="2">
        <f t="shared" si="111"/>
        <v>0</v>
      </c>
      <c r="AB124" s="2">
        <f t="shared" si="111"/>
        <v>360727.14</v>
      </c>
      <c r="AC124" s="2">
        <f t="shared" si="111"/>
        <v>3917.64</v>
      </c>
      <c r="AD124" s="2">
        <f t="shared" si="111"/>
        <v>2202.86</v>
      </c>
      <c r="AE124" s="2">
        <f t="shared" si="111"/>
        <v>1388.02</v>
      </c>
      <c r="AF124" s="2">
        <f t="shared" si="111"/>
        <v>354606.64</v>
      </c>
      <c r="AG124" s="2">
        <f t="shared" si="111"/>
        <v>0</v>
      </c>
      <c r="AH124" s="2">
        <f t="shared" si="111"/>
        <v>586.72799999999995</v>
      </c>
      <c r="AI124" s="2">
        <f t="shared" si="111"/>
        <v>0</v>
      </c>
      <c r="AJ124" s="2">
        <f t="shared" si="111"/>
        <v>0</v>
      </c>
      <c r="AK124" s="2">
        <f t="shared" si="111"/>
        <v>248224.65</v>
      </c>
      <c r="AL124" s="2">
        <f t="shared" si="111"/>
        <v>35460.68</v>
      </c>
      <c r="AM124" s="2">
        <f t="shared" si="111"/>
        <v>0</v>
      </c>
      <c r="AN124" s="2">
        <f t="shared" si="111"/>
        <v>0</v>
      </c>
      <c r="AO124" s="2">
        <f t="shared" si="111"/>
        <v>0</v>
      </c>
      <c r="AP124" s="2">
        <f t="shared" si="111"/>
        <v>0</v>
      </c>
      <c r="AQ124" s="2">
        <f t="shared" si="111"/>
        <v>0</v>
      </c>
      <c r="AR124" s="2">
        <f t="shared" si="111"/>
        <v>645911.53</v>
      </c>
      <c r="AS124" s="2">
        <f t="shared" si="111"/>
        <v>0</v>
      </c>
      <c r="AT124" s="2">
        <f t="shared" si="111"/>
        <v>0</v>
      </c>
      <c r="AU124" s="2">
        <f t="shared" ref="AU124:BZ124" si="112">AU149</f>
        <v>645911.53</v>
      </c>
      <c r="AV124" s="2">
        <f t="shared" si="112"/>
        <v>3917.64</v>
      </c>
      <c r="AW124" s="2">
        <f t="shared" si="112"/>
        <v>3917.64</v>
      </c>
      <c r="AX124" s="2">
        <f t="shared" si="112"/>
        <v>0</v>
      </c>
      <c r="AY124" s="2">
        <f t="shared" si="112"/>
        <v>3917.64</v>
      </c>
      <c r="AZ124" s="2">
        <f t="shared" si="112"/>
        <v>0</v>
      </c>
      <c r="BA124" s="2">
        <f t="shared" si="112"/>
        <v>0</v>
      </c>
      <c r="BB124" s="2">
        <f t="shared" si="112"/>
        <v>0</v>
      </c>
      <c r="BC124" s="2">
        <f t="shared" si="112"/>
        <v>0</v>
      </c>
      <c r="BD124" s="2">
        <f t="shared" si="112"/>
        <v>0</v>
      </c>
      <c r="BE124" s="2">
        <f t="shared" si="112"/>
        <v>0</v>
      </c>
      <c r="BF124" s="2">
        <f t="shared" si="112"/>
        <v>0</v>
      </c>
      <c r="BG124" s="2">
        <f t="shared" si="112"/>
        <v>0</v>
      </c>
      <c r="BH124" s="2">
        <f t="shared" si="112"/>
        <v>0</v>
      </c>
      <c r="BI124" s="2">
        <f t="shared" si="112"/>
        <v>0</v>
      </c>
      <c r="BJ124" s="2">
        <f t="shared" si="112"/>
        <v>0</v>
      </c>
      <c r="BK124" s="2">
        <f t="shared" si="112"/>
        <v>0</v>
      </c>
      <c r="BL124" s="2">
        <f t="shared" si="112"/>
        <v>0</v>
      </c>
      <c r="BM124" s="2">
        <f t="shared" si="112"/>
        <v>0</v>
      </c>
      <c r="BN124" s="2">
        <f t="shared" si="112"/>
        <v>0</v>
      </c>
      <c r="BO124" s="2">
        <f t="shared" si="112"/>
        <v>0</v>
      </c>
      <c r="BP124" s="2">
        <f t="shared" si="112"/>
        <v>0</v>
      </c>
      <c r="BQ124" s="2">
        <f t="shared" si="112"/>
        <v>0</v>
      </c>
      <c r="BR124" s="2">
        <f t="shared" si="112"/>
        <v>0</v>
      </c>
      <c r="BS124" s="2">
        <f t="shared" si="112"/>
        <v>0</v>
      </c>
      <c r="BT124" s="2">
        <f t="shared" si="112"/>
        <v>0</v>
      </c>
      <c r="BU124" s="2">
        <f t="shared" si="112"/>
        <v>0</v>
      </c>
      <c r="BV124" s="2">
        <f t="shared" si="112"/>
        <v>0</v>
      </c>
      <c r="BW124" s="2">
        <f t="shared" si="112"/>
        <v>0</v>
      </c>
      <c r="BX124" s="2">
        <f t="shared" si="112"/>
        <v>0</v>
      </c>
      <c r="BY124" s="2">
        <f t="shared" si="112"/>
        <v>0</v>
      </c>
      <c r="BZ124" s="2">
        <f t="shared" si="112"/>
        <v>0</v>
      </c>
      <c r="CA124" s="2">
        <f t="shared" ref="CA124:DF124" si="113">CA149</f>
        <v>645911.53</v>
      </c>
      <c r="CB124" s="2">
        <f t="shared" si="113"/>
        <v>0</v>
      </c>
      <c r="CC124" s="2">
        <f t="shared" si="113"/>
        <v>0</v>
      </c>
      <c r="CD124" s="2">
        <f t="shared" si="113"/>
        <v>645911.53</v>
      </c>
      <c r="CE124" s="2">
        <f t="shared" si="113"/>
        <v>3917.64</v>
      </c>
      <c r="CF124" s="2">
        <f t="shared" si="113"/>
        <v>3917.64</v>
      </c>
      <c r="CG124" s="2">
        <f t="shared" si="113"/>
        <v>0</v>
      </c>
      <c r="CH124" s="2">
        <f t="shared" si="113"/>
        <v>3917.64</v>
      </c>
      <c r="CI124" s="2">
        <f t="shared" si="113"/>
        <v>0</v>
      </c>
      <c r="CJ124" s="2">
        <f t="shared" si="113"/>
        <v>0</v>
      </c>
      <c r="CK124" s="2">
        <f t="shared" si="113"/>
        <v>0</v>
      </c>
      <c r="CL124" s="2">
        <f t="shared" si="113"/>
        <v>0</v>
      </c>
      <c r="CM124" s="2">
        <f t="shared" si="113"/>
        <v>0</v>
      </c>
      <c r="CN124" s="2">
        <f t="shared" si="113"/>
        <v>0</v>
      </c>
      <c r="CO124" s="2">
        <f t="shared" si="113"/>
        <v>0</v>
      </c>
      <c r="CP124" s="2">
        <f t="shared" si="113"/>
        <v>0</v>
      </c>
      <c r="CQ124" s="2">
        <f t="shared" si="113"/>
        <v>0</v>
      </c>
      <c r="CR124" s="2">
        <f t="shared" si="113"/>
        <v>0</v>
      </c>
      <c r="CS124" s="2">
        <f t="shared" si="113"/>
        <v>0</v>
      </c>
      <c r="CT124" s="2">
        <f t="shared" si="113"/>
        <v>0</v>
      </c>
      <c r="CU124" s="2">
        <f t="shared" si="113"/>
        <v>0</v>
      </c>
      <c r="CV124" s="2">
        <f t="shared" si="113"/>
        <v>0</v>
      </c>
      <c r="CW124" s="2">
        <f t="shared" si="113"/>
        <v>0</v>
      </c>
      <c r="CX124" s="2">
        <f t="shared" si="113"/>
        <v>0</v>
      </c>
      <c r="CY124" s="2">
        <f t="shared" si="113"/>
        <v>0</v>
      </c>
      <c r="CZ124" s="2">
        <f t="shared" si="113"/>
        <v>0</v>
      </c>
      <c r="DA124" s="2">
        <f t="shared" si="113"/>
        <v>0</v>
      </c>
      <c r="DB124" s="2">
        <f t="shared" si="113"/>
        <v>0</v>
      </c>
      <c r="DC124" s="2">
        <f t="shared" si="113"/>
        <v>0</v>
      </c>
      <c r="DD124" s="2">
        <f t="shared" si="113"/>
        <v>0</v>
      </c>
      <c r="DE124" s="2">
        <f t="shared" si="113"/>
        <v>0</v>
      </c>
      <c r="DF124" s="2">
        <f t="shared" si="113"/>
        <v>0</v>
      </c>
      <c r="DG124" s="3">
        <f t="shared" ref="DG124:EL124" si="114">DG149</f>
        <v>0</v>
      </c>
      <c r="DH124" s="3">
        <f t="shared" si="114"/>
        <v>0</v>
      </c>
      <c r="DI124" s="3">
        <f t="shared" si="114"/>
        <v>0</v>
      </c>
      <c r="DJ124" s="3">
        <f t="shared" si="114"/>
        <v>0</v>
      </c>
      <c r="DK124" s="3">
        <f t="shared" si="114"/>
        <v>0</v>
      </c>
      <c r="DL124" s="3">
        <f t="shared" si="114"/>
        <v>0</v>
      </c>
      <c r="DM124" s="3">
        <f t="shared" si="114"/>
        <v>0</v>
      </c>
      <c r="DN124" s="3">
        <f t="shared" si="114"/>
        <v>0</v>
      </c>
      <c r="DO124" s="3">
        <f t="shared" si="114"/>
        <v>0</v>
      </c>
      <c r="DP124" s="3">
        <f t="shared" si="114"/>
        <v>0</v>
      </c>
      <c r="DQ124" s="3">
        <f t="shared" si="114"/>
        <v>0</v>
      </c>
      <c r="DR124" s="3">
        <f t="shared" si="114"/>
        <v>0</v>
      </c>
      <c r="DS124" s="3">
        <f t="shared" si="114"/>
        <v>0</v>
      </c>
      <c r="DT124" s="3">
        <f t="shared" si="114"/>
        <v>0</v>
      </c>
      <c r="DU124" s="3">
        <f t="shared" si="114"/>
        <v>0</v>
      </c>
      <c r="DV124" s="3">
        <f t="shared" si="114"/>
        <v>0</v>
      </c>
      <c r="DW124" s="3">
        <f t="shared" si="114"/>
        <v>0</v>
      </c>
      <c r="DX124" s="3">
        <f t="shared" si="114"/>
        <v>0</v>
      </c>
      <c r="DY124" s="3">
        <f t="shared" si="114"/>
        <v>0</v>
      </c>
      <c r="DZ124" s="3">
        <f t="shared" si="114"/>
        <v>0</v>
      </c>
      <c r="EA124" s="3">
        <f t="shared" si="114"/>
        <v>0</v>
      </c>
      <c r="EB124" s="3">
        <f t="shared" si="114"/>
        <v>0</v>
      </c>
      <c r="EC124" s="3">
        <f t="shared" si="114"/>
        <v>0</v>
      </c>
      <c r="ED124" s="3">
        <f t="shared" si="114"/>
        <v>0</v>
      </c>
      <c r="EE124" s="3">
        <f t="shared" si="114"/>
        <v>0</v>
      </c>
      <c r="EF124" s="3">
        <f t="shared" si="114"/>
        <v>0</v>
      </c>
      <c r="EG124" s="3">
        <f t="shared" si="114"/>
        <v>0</v>
      </c>
      <c r="EH124" s="3">
        <f t="shared" si="114"/>
        <v>0</v>
      </c>
      <c r="EI124" s="3">
        <f t="shared" si="114"/>
        <v>0</v>
      </c>
      <c r="EJ124" s="3">
        <f t="shared" si="114"/>
        <v>0</v>
      </c>
      <c r="EK124" s="3">
        <f t="shared" si="114"/>
        <v>0</v>
      </c>
      <c r="EL124" s="3">
        <f t="shared" si="114"/>
        <v>0</v>
      </c>
      <c r="EM124" s="3">
        <f t="shared" ref="EM124:FR124" si="115">EM149</f>
        <v>0</v>
      </c>
      <c r="EN124" s="3">
        <f t="shared" si="115"/>
        <v>0</v>
      </c>
      <c r="EO124" s="3">
        <f t="shared" si="115"/>
        <v>0</v>
      </c>
      <c r="EP124" s="3">
        <f t="shared" si="115"/>
        <v>0</v>
      </c>
      <c r="EQ124" s="3">
        <f t="shared" si="115"/>
        <v>0</v>
      </c>
      <c r="ER124" s="3">
        <f t="shared" si="115"/>
        <v>0</v>
      </c>
      <c r="ES124" s="3">
        <f t="shared" si="115"/>
        <v>0</v>
      </c>
      <c r="ET124" s="3">
        <f t="shared" si="115"/>
        <v>0</v>
      </c>
      <c r="EU124" s="3">
        <f t="shared" si="115"/>
        <v>0</v>
      </c>
      <c r="EV124" s="3">
        <f t="shared" si="115"/>
        <v>0</v>
      </c>
      <c r="EW124" s="3">
        <f t="shared" si="115"/>
        <v>0</v>
      </c>
      <c r="EX124" s="3">
        <f t="shared" si="115"/>
        <v>0</v>
      </c>
      <c r="EY124" s="3">
        <f t="shared" si="115"/>
        <v>0</v>
      </c>
      <c r="EZ124" s="3">
        <f t="shared" si="115"/>
        <v>0</v>
      </c>
      <c r="FA124" s="3">
        <f t="shared" si="115"/>
        <v>0</v>
      </c>
      <c r="FB124" s="3">
        <f t="shared" si="115"/>
        <v>0</v>
      </c>
      <c r="FC124" s="3">
        <f t="shared" si="115"/>
        <v>0</v>
      </c>
      <c r="FD124" s="3">
        <f t="shared" si="115"/>
        <v>0</v>
      </c>
      <c r="FE124" s="3">
        <f t="shared" si="115"/>
        <v>0</v>
      </c>
      <c r="FF124" s="3">
        <f t="shared" si="115"/>
        <v>0</v>
      </c>
      <c r="FG124" s="3">
        <f t="shared" si="115"/>
        <v>0</v>
      </c>
      <c r="FH124" s="3">
        <f t="shared" si="115"/>
        <v>0</v>
      </c>
      <c r="FI124" s="3">
        <f t="shared" si="115"/>
        <v>0</v>
      </c>
      <c r="FJ124" s="3">
        <f t="shared" si="115"/>
        <v>0</v>
      </c>
      <c r="FK124" s="3">
        <f t="shared" si="115"/>
        <v>0</v>
      </c>
      <c r="FL124" s="3">
        <f t="shared" si="115"/>
        <v>0</v>
      </c>
      <c r="FM124" s="3">
        <f t="shared" si="115"/>
        <v>0</v>
      </c>
      <c r="FN124" s="3">
        <f t="shared" si="115"/>
        <v>0</v>
      </c>
      <c r="FO124" s="3">
        <f t="shared" si="115"/>
        <v>0</v>
      </c>
      <c r="FP124" s="3">
        <f t="shared" si="115"/>
        <v>0</v>
      </c>
      <c r="FQ124" s="3">
        <f t="shared" si="115"/>
        <v>0</v>
      </c>
      <c r="FR124" s="3">
        <f t="shared" si="115"/>
        <v>0</v>
      </c>
      <c r="FS124" s="3">
        <f t="shared" ref="FS124:GX124" si="116">FS149</f>
        <v>0</v>
      </c>
      <c r="FT124" s="3">
        <f t="shared" si="116"/>
        <v>0</v>
      </c>
      <c r="FU124" s="3">
        <f t="shared" si="116"/>
        <v>0</v>
      </c>
      <c r="FV124" s="3">
        <f t="shared" si="116"/>
        <v>0</v>
      </c>
      <c r="FW124" s="3">
        <f t="shared" si="116"/>
        <v>0</v>
      </c>
      <c r="FX124" s="3">
        <f t="shared" si="116"/>
        <v>0</v>
      </c>
      <c r="FY124" s="3">
        <f t="shared" si="116"/>
        <v>0</v>
      </c>
      <c r="FZ124" s="3">
        <f t="shared" si="116"/>
        <v>0</v>
      </c>
      <c r="GA124" s="3">
        <f t="shared" si="116"/>
        <v>0</v>
      </c>
      <c r="GB124" s="3">
        <f t="shared" si="116"/>
        <v>0</v>
      </c>
      <c r="GC124" s="3">
        <f t="shared" si="116"/>
        <v>0</v>
      </c>
      <c r="GD124" s="3">
        <f t="shared" si="116"/>
        <v>0</v>
      </c>
      <c r="GE124" s="3">
        <f t="shared" si="116"/>
        <v>0</v>
      </c>
      <c r="GF124" s="3">
        <f t="shared" si="116"/>
        <v>0</v>
      </c>
      <c r="GG124" s="3">
        <f t="shared" si="116"/>
        <v>0</v>
      </c>
      <c r="GH124" s="3">
        <f t="shared" si="116"/>
        <v>0</v>
      </c>
      <c r="GI124" s="3">
        <f t="shared" si="116"/>
        <v>0</v>
      </c>
      <c r="GJ124" s="3">
        <f t="shared" si="116"/>
        <v>0</v>
      </c>
      <c r="GK124" s="3">
        <f t="shared" si="116"/>
        <v>0</v>
      </c>
      <c r="GL124" s="3">
        <f t="shared" si="116"/>
        <v>0</v>
      </c>
      <c r="GM124" s="3">
        <f t="shared" si="116"/>
        <v>0</v>
      </c>
      <c r="GN124" s="3">
        <f t="shared" si="116"/>
        <v>0</v>
      </c>
      <c r="GO124" s="3">
        <f t="shared" si="116"/>
        <v>0</v>
      </c>
      <c r="GP124" s="3">
        <f t="shared" si="116"/>
        <v>0</v>
      </c>
      <c r="GQ124" s="3">
        <f t="shared" si="116"/>
        <v>0</v>
      </c>
      <c r="GR124" s="3">
        <f t="shared" si="116"/>
        <v>0</v>
      </c>
      <c r="GS124" s="3">
        <f t="shared" si="116"/>
        <v>0</v>
      </c>
      <c r="GT124" s="3">
        <f t="shared" si="116"/>
        <v>0</v>
      </c>
      <c r="GU124" s="3">
        <f t="shared" si="116"/>
        <v>0</v>
      </c>
      <c r="GV124" s="3">
        <f t="shared" si="116"/>
        <v>0</v>
      </c>
      <c r="GW124" s="3">
        <f t="shared" si="116"/>
        <v>0</v>
      </c>
      <c r="GX124" s="3">
        <f t="shared" si="116"/>
        <v>0</v>
      </c>
    </row>
    <row r="126" spans="1:245" x14ac:dyDescent="0.2">
      <c r="A126">
        <v>17</v>
      </c>
      <c r="B126">
        <v>1</v>
      </c>
      <c r="D126">
        <f>ROW(EtalonRes!A61)</f>
        <v>61</v>
      </c>
      <c r="E126" t="s">
        <v>168</v>
      </c>
      <c r="F126" t="s">
        <v>169</v>
      </c>
      <c r="G126" t="s">
        <v>170</v>
      </c>
      <c r="H126" t="s">
        <v>39</v>
      </c>
      <c r="I126">
        <f>ROUND(15,9)</f>
        <v>15</v>
      </c>
      <c r="J126">
        <v>0</v>
      </c>
      <c r="K126">
        <f>ROUND(15,9)</f>
        <v>15</v>
      </c>
      <c r="O126">
        <f t="shared" ref="O126:O147" si="117">ROUND(CP126,2)</f>
        <v>225379.35</v>
      </c>
      <c r="P126">
        <f t="shared" ref="P126:P147" si="118">ROUND(CQ126*I126,2)</f>
        <v>3082.95</v>
      </c>
      <c r="Q126">
        <f t="shared" ref="Q126:Q147" si="119">ROUND(CR126*I126,2)</f>
        <v>0</v>
      </c>
      <c r="R126">
        <f t="shared" ref="R126:R147" si="120">ROUND(CS126*I126,2)</f>
        <v>0</v>
      </c>
      <c r="S126">
        <f t="shared" ref="S126:S147" si="121">ROUND(CT126*I126,2)</f>
        <v>222296.4</v>
      </c>
      <c r="T126">
        <f t="shared" ref="T126:T147" si="122">ROUND(CU126*I126,2)</f>
        <v>0</v>
      </c>
      <c r="U126">
        <f t="shared" ref="U126:U147" si="123">CV126*I126</f>
        <v>360</v>
      </c>
      <c r="V126">
        <f t="shared" ref="V126:V147" si="124">CW126*I126</f>
        <v>0</v>
      </c>
      <c r="W126">
        <f t="shared" ref="W126:W147" si="125">ROUND(CX126*I126,2)</f>
        <v>0</v>
      </c>
      <c r="X126">
        <f t="shared" ref="X126:X147" si="126">ROUND(CY126,2)</f>
        <v>155607.48000000001</v>
      </c>
      <c r="Y126">
        <f t="shared" ref="Y126:Y147" si="127">ROUND(CZ126,2)</f>
        <v>22229.64</v>
      </c>
      <c r="AA126">
        <v>1471531721</v>
      </c>
      <c r="AB126">
        <f t="shared" ref="AB126:AB147" si="128">ROUND((AC126+AD126+AF126),6)</f>
        <v>15025.29</v>
      </c>
      <c r="AC126">
        <f>ROUND((ES126),6)</f>
        <v>205.53</v>
      </c>
      <c r="AD126">
        <f>ROUND((((ET126)-(EU126))+AE126),6)</f>
        <v>0</v>
      </c>
      <c r="AE126">
        <f>ROUND((EU126),6)</f>
        <v>0</v>
      </c>
      <c r="AF126">
        <f>ROUND((EV126),6)</f>
        <v>14819.76</v>
      </c>
      <c r="AG126">
        <f t="shared" ref="AG126:AG147" si="129">ROUND((AP126),6)</f>
        <v>0</v>
      </c>
      <c r="AH126">
        <f>(EW126)</f>
        <v>24</v>
      </c>
      <c r="AI126">
        <f>(EX126)</f>
        <v>0</v>
      </c>
      <c r="AJ126">
        <f t="shared" ref="AJ126:AJ147" si="130">(AS126)</f>
        <v>0</v>
      </c>
      <c r="AK126">
        <v>15025.29</v>
      </c>
      <c r="AL126">
        <v>205.53</v>
      </c>
      <c r="AM126">
        <v>0</v>
      </c>
      <c r="AN126">
        <v>0</v>
      </c>
      <c r="AO126">
        <v>14819.76</v>
      </c>
      <c r="AP126">
        <v>0</v>
      </c>
      <c r="AQ126">
        <v>24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171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ref="CP126:CP147" si="131">(P126+Q126+S126)</f>
        <v>225379.35</v>
      </c>
      <c r="CQ126">
        <f t="shared" ref="CQ126:CQ147" si="132">(AC126*BC126*AW126)</f>
        <v>205.53</v>
      </c>
      <c r="CR126">
        <f>((((ET126)*BB126-(EU126)*BS126)+AE126*BS126)*AV126)</f>
        <v>0</v>
      </c>
      <c r="CS126">
        <f t="shared" ref="CS126:CS147" si="133">(AE126*BS126*AV126)</f>
        <v>0</v>
      </c>
      <c r="CT126">
        <f t="shared" ref="CT126:CT147" si="134">(AF126*BA126*AV126)</f>
        <v>14819.76</v>
      </c>
      <c r="CU126">
        <f t="shared" ref="CU126:CU147" si="135">AG126</f>
        <v>0</v>
      </c>
      <c r="CV126">
        <f t="shared" ref="CV126:CV147" si="136">(AH126*AV126)</f>
        <v>24</v>
      </c>
      <c r="CW126">
        <f t="shared" ref="CW126:CW147" si="137">AI126</f>
        <v>0</v>
      </c>
      <c r="CX126">
        <f t="shared" ref="CX126:CX147" si="138">AJ126</f>
        <v>0</v>
      </c>
      <c r="CY126">
        <f t="shared" ref="CY126:CY147" si="139">((S126*BZ126)/100)</f>
        <v>155607.48000000001</v>
      </c>
      <c r="CZ126">
        <f t="shared" ref="CZ126:CZ147" si="140">((S126*CA126)/100)</f>
        <v>22229.64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39</v>
      </c>
      <c r="DW126" t="s">
        <v>39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21</v>
      </c>
      <c r="EH126">
        <v>0</v>
      </c>
      <c r="EI126" t="s">
        <v>3</v>
      </c>
      <c r="EJ126">
        <v>4</v>
      </c>
      <c r="EK126">
        <v>0</v>
      </c>
      <c r="EL126" t="s">
        <v>22</v>
      </c>
      <c r="EM126" t="s">
        <v>23</v>
      </c>
      <c r="EO126" t="s">
        <v>3</v>
      </c>
      <c r="EQ126">
        <v>0</v>
      </c>
      <c r="ER126">
        <v>15025.29</v>
      </c>
      <c r="ES126">
        <v>205.53</v>
      </c>
      <c r="ET126">
        <v>0</v>
      </c>
      <c r="EU126">
        <v>0</v>
      </c>
      <c r="EV126">
        <v>14819.76</v>
      </c>
      <c r="EW126">
        <v>24</v>
      </c>
      <c r="EX126">
        <v>0</v>
      </c>
      <c r="EY126">
        <v>0</v>
      </c>
      <c r="FQ126">
        <v>0</v>
      </c>
      <c r="FR126">
        <f t="shared" ref="FR126:FR147" si="141">ROUND(IF(BI126=3,GM126,0),2)</f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1432440124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ref="GL126:GL147" si="142">ROUND(IF(AND(BH126=3,BI126=3,FS126&lt;&gt;0),P126,0),2)</f>
        <v>0</v>
      </c>
      <c r="GM126">
        <f t="shared" ref="GM126:GM147" si="143">ROUND(O126+X126+Y126+GK126,2)+GX126</f>
        <v>403216.47</v>
      </c>
      <c r="GN126">
        <f t="shared" ref="GN126:GN147" si="144">IF(OR(BI126=0,BI126=1),GM126-GX126,0)</f>
        <v>0</v>
      </c>
      <c r="GO126">
        <f t="shared" ref="GO126:GO147" si="145">IF(BI126=2,GM126-GX126,0)</f>
        <v>0</v>
      </c>
      <c r="GP126">
        <f t="shared" ref="GP126:GP147" si="146">IF(BI126=4,GM126-GX126,0)</f>
        <v>403216.47</v>
      </c>
      <c r="GR126">
        <v>0</v>
      </c>
      <c r="GS126">
        <v>3</v>
      </c>
      <c r="GT126">
        <v>0</v>
      </c>
      <c r="GU126" t="s">
        <v>3</v>
      </c>
      <c r="GV126">
        <f t="shared" ref="GV126:GV147" si="147">ROUND((GT126),6)</f>
        <v>0</v>
      </c>
      <c r="GW126">
        <v>1</v>
      </c>
      <c r="GX126">
        <f t="shared" ref="GX126:GX147" si="148">ROUND(HC126*I126,2)</f>
        <v>0</v>
      </c>
      <c r="HA126">
        <v>0</v>
      </c>
      <c r="HB126">
        <v>0</v>
      </c>
      <c r="HC126">
        <f t="shared" ref="HC126:HC147" si="149">GV126*GW126</f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ROW(EtalonRes!A63)</f>
        <v>63</v>
      </c>
      <c r="E127" t="s">
        <v>3</v>
      </c>
      <c r="F127" t="s">
        <v>172</v>
      </c>
      <c r="G127" t="s">
        <v>173</v>
      </c>
      <c r="H127" t="s">
        <v>39</v>
      </c>
      <c r="I127">
        <f>ROUND(15,9)</f>
        <v>15</v>
      </c>
      <c r="J127">
        <v>0</v>
      </c>
      <c r="K127">
        <f>ROUND(15,9)</f>
        <v>15</v>
      </c>
      <c r="O127">
        <f t="shared" si="117"/>
        <v>22262.85</v>
      </c>
      <c r="P127">
        <f t="shared" si="118"/>
        <v>33.299999999999997</v>
      </c>
      <c r="Q127">
        <f t="shared" si="119"/>
        <v>0</v>
      </c>
      <c r="R127">
        <f t="shared" si="120"/>
        <v>0</v>
      </c>
      <c r="S127">
        <f t="shared" si="121"/>
        <v>22229.55</v>
      </c>
      <c r="T127">
        <f t="shared" si="122"/>
        <v>0</v>
      </c>
      <c r="U127">
        <f t="shared" si="123"/>
        <v>36.000000000000007</v>
      </c>
      <c r="V127">
        <f t="shared" si="124"/>
        <v>0</v>
      </c>
      <c r="W127">
        <f t="shared" si="125"/>
        <v>0</v>
      </c>
      <c r="X127">
        <f t="shared" si="126"/>
        <v>15560.69</v>
      </c>
      <c r="Y127">
        <f t="shared" si="127"/>
        <v>2222.96</v>
      </c>
      <c r="AA127">
        <v>-1</v>
      </c>
      <c r="AB127">
        <f t="shared" si="128"/>
        <v>1484.19</v>
      </c>
      <c r="AC127">
        <f>ROUND(((ES127*3)),6)</f>
        <v>2.2200000000000002</v>
      </c>
      <c r="AD127">
        <f>ROUND(((((ET127*3))-((EU127*3)))+AE127),6)</f>
        <v>0</v>
      </c>
      <c r="AE127">
        <f>ROUND(((EU127*3)),6)</f>
        <v>0</v>
      </c>
      <c r="AF127">
        <f>ROUND(((EV127*3)),6)</f>
        <v>1481.97</v>
      </c>
      <c r="AG127">
        <f t="shared" si="129"/>
        <v>0</v>
      </c>
      <c r="AH127">
        <f>((EW127*3))</f>
        <v>2.4000000000000004</v>
      </c>
      <c r="AI127">
        <f>((EX127*3))</f>
        <v>0</v>
      </c>
      <c r="AJ127">
        <f t="shared" si="130"/>
        <v>0</v>
      </c>
      <c r="AK127">
        <v>494.73</v>
      </c>
      <c r="AL127">
        <v>0.74</v>
      </c>
      <c r="AM127">
        <v>0</v>
      </c>
      <c r="AN127">
        <v>0</v>
      </c>
      <c r="AO127">
        <v>493.99</v>
      </c>
      <c r="AP127">
        <v>0</v>
      </c>
      <c r="AQ127">
        <v>0.8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174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31"/>
        <v>22262.85</v>
      </c>
      <c r="CQ127">
        <f t="shared" si="132"/>
        <v>2.2200000000000002</v>
      </c>
      <c r="CR127">
        <f>(((((ET127*3))*BB127-((EU127*3))*BS127)+AE127*BS127)*AV127)</f>
        <v>0</v>
      </c>
      <c r="CS127">
        <f t="shared" si="133"/>
        <v>0</v>
      </c>
      <c r="CT127">
        <f t="shared" si="134"/>
        <v>1481.97</v>
      </c>
      <c r="CU127">
        <f t="shared" si="135"/>
        <v>0</v>
      </c>
      <c r="CV127">
        <f t="shared" si="136"/>
        <v>2.4000000000000004</v>
      </c>
      <c r="CW127">
        <f t="shared" si="137"/>
        <v>0</v>
      </c>
      <c r="CX127">
        <f t="shared" si="138"/>
        <v>0</v>
      </c>
      <c r="CY127">
        <f t="shared" si="139"/>
        <v>15560.684999999999</v>
      </c>
      <c r="CZ127">
        <f t="shared" si="140"/>
        <v>2222.9549999999999</v>
      </c>
      <c r="DC127" t="s">
        <v>3</v>
      </c>
      <c r="DD127" t="s">
        <v>156</v>
      </c>
      <c r="DE127" t="s">
        <v>156</v>
      </c>
      <c r="DF127" t="s">
        <v>156</v>
      </c>
      <c r="DG127" t="s">
        <v>156</v>
      </c>
      <c r="DH127" t="s">
        <v>3</v>
      </c>
      <c r="DI127" t="s">
        <v>156</v>
      </c>
      <c r="DJ127" t="s">
        <v>156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16987630</v>
      </c>
      <c r="DV127" t="s">
        <v>39</v>
      </c>
      <c r="DW127" t="s">
        <v>39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21</v>
      </c>
      <c r="EH127">
        <v>0</v>
      </c>
      <c r="EI127" t="s">
        <v>3</v>
      </c>
      <c r="EJ127">
        <v>4</v>
      </c>
      <c r="EK127">
        <v>0</v>
      </c>
      <c r="EL127" t="s">
        <v>22</v>
      </c>
      <c r="EM127" t="s">
        <v>23</v>
      </c>
      <c r="EO127" t="s">
        <v>3</v>
      </c>
      <c r="EQ127">
        <v>1024</v>
      </c>
      <c r="ER127">
        <v>494.73</v>
      </c>
      <c r="ES127">
        <v>0.74</v>
      </c>
      <c r="ET127">
        <v>0</v>
      </c>
      <c r="EU127">
        <v>0</v>
      </c>
      <c r="EV127">
        <v>493.99</v>
      </c>
      <c r="EW127">
        <v>0.8</v>
      </c>
      <c r="EX127">
        <v>0</v>
      </c>
      <c r="EY127">
        <v>0</v>
      </c>
      <c r="FQ127">
        <v>0</v>
      </c>
      <c r="FR127">
        <f t="shared" si="141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292563352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42"/>
        <v>0</v>
      </c>
      <c r="GM127">
        <f t="shared" si="143"/>
        <v>40046.5</v>
      </c>
      <c r="GN127">
        <f t="shared" si="144"/>
        <v>0</v>
      </c>
      <c r="GO127">
        <f t="shared" si="145"/>
        <v>0</v>
      </c>
      <c r="GP127">
        <f t="shared" si="146"/>
        <v>40046.5</v>
      </c>
      <c r="GR127">
        <v>0</v>
      </c>
      <c r="GS127">
        <v>3</v>
      </c>
      <c r="GT127">
        <v>0</v>
      </c>
      <c r="GU127" t="s">
        <v>3</v>
      </c>
      <c r="GV127">
        <f t="shared" si="147"/>
        <v>0</v>
      </c>
      <c r="GW127">
        <v>1</v>
      </c>
      <c r="GX127">
        <f t="shared" si="148"/>
        <v>0</v>
      </c>
      <c r="HA127">
        <v>0</v>
      </c>
      <c r="HB127">
        <v>0</v>
      </c>
      <c r="HC127">
        <f t="shared" si="149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D128">
        <f>ROW(EtalonRes!A65)</f>
        <v>65</v>
      </c>
      <c r="E128" t="s">
        <v>3</v>
      </c>
      <c r="F128" t="s">
        <v>175</v>
      </c>
      <c r="G128" t="s">
        <v>176</v>
      </c>
      <c r="H128" t="s">
        <v>39</v>
      </c>
      <c r="I128">
        <f>ROUND(4*15,9)</f>
        <v>60</v>
      </c>
      <c r="J128">
        <v>0</v>
      </c>
      <c r="K128">
        <f>ROUND(4*15,9)</f>
        <v>60</v>
      </c>
      <c r="O128">
        <f t="shared" si="117"/>
        <v>67720.2</v>
      </c>
      <c r="P128">
        <f t="shared" si="118"/>
        <v>18.600000000000001</v>
      </c>
      <c r="Q128">
        <f t="shared" si="119"/>
        <v>0</v>
      </c>
      <c r="R128">
        <f t="shared" si="120"/>
        <v>0</v>
      </c>
      <c r="S128">
        <f t="shared" si="121"/>
        <v>67701.600000000006</v>
      </c>
      <c r="T128">
        <f t="shared" si="122"/>
        <v>0</v>
      </c>
      <c r="U128">
        <f t="shared" si="123"/>
        <v>95.4</v>
      </c>
      <c r="V128">
        <f t="shared" si="124"/>
        <v>0</v>
      </c>
      <c r="W128">
        <f t="shared" si="125"/>
        <v>0</v>
      </c>
      <c r="X128">
        <f t="shared" si="126"/>
        <v>47391.12</v>
      </c>
      <c r="Y128">
        <f t="shared" si="127"/>
        <v>6770.16</v>
      </c>
      <c r="AA128">
        <v>-1</v>
      </c>
      <c r="AB128">
        <f t="shared" si="128"/>
        <v>1128.67</v>
      </c>
      <c r="AC128">
        <f>ROUND((ES128),6)</f>
        <v>0.31</v>
      </c>
      <c r="AD128">
        <f>ROUND((((ET128)-(EU128))+AE128),6)</f>
        <v>0</v>
      </c>
      <c r="AE128">
        <f>ROUND((EU128),6)</f>
        <v>0</v>
      </c>
      <c r="AF128">
        <f>ROUND((EV128),6)</f>
        <v>1128.3599999999999</v>
      </c>
      <c r="AG128">
        <f t="shared" si="129"/>
        <v>0</v>
      </c>
      <c r="AH128">
        <f>(EW128)</f>
        <v>1.59</v>
      </c>
      <c r="AI128">
        <f>(EX128)</f>
        <v>0</v>
      </c>
      <c r="AJ128">
        <f t="shared" si="130"/>
        <v>0</v>
      </c>
      <c r="AK128">
        <v>1128.67</v>
      </c>
      <c r="AL128">
        <v>0.31</v>
      </c>
      <c r="AM128">
        <v>0</v>
      </c>
      <c r="AN128">
        <v>0</v>
      </c>
      <c r="AO128">
        <v>1128.3599999999999</v>
      </c>
      <c r="AP128">
        <v>0</v>
      </c>
      <c r="AQ128">
        <v>1.59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177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31"/>
        <v>67720.200000000012</v>
      </c>
      <c r="CQ128">
        <f t="shared" si="132"/>
        <v>0.31</v>
      </c>
      <c r="CR128">
        <f>((((ET128)*BB128-(EU128)*BS128)+AE128*BS128)*AV128)</f>
        <v>0</v>
      </c>
      <c r="CS128">
        <f t="shared" si="133"/>
        <v>0</v>
      </c>
      <c r="CT128">
        <f t="shared" si="134"/>
        <v>1128.3599999999999</v>
      </c>
      <c r="CU128">
        <f t="shared" si="135"/>
        <v>0</v>
      </c>
      <c r="CV128">
        <f t="shared" si="136"/>
        <v>1.59</v>
      </c>
      <c r="CW128">
        <f t="shared" si="137"/>
        <v>0</v>
      </c>
      <c r="CX128">
        <f t="shared" si="138"/>
        <v>0</v>
      </c>
      <c r="CY128">
        <f t="shared" si="139"/>
        <v>47391.12</v>
      </c>
      <c r="CZ128">
        <f t="shared" si="140"/>
        <v>6770.16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16987630</v>
      </c>
      <c r="DV128" t="s">
        <v>39</v>
      </c>
      <c r="DW128" t="s">
        <v>39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21</v>
      </c>
      <c r="EH128">
        <v>0</v>
      </c>
      <c r="EI128" t="s">
        <v>3</v>
      </c>
      <c r="EJ128">
        <v>4</v>
      </c>
      <c r="EK128">
        <v>0</v>
      </c>
      <c r="EL128" t="s">
        <v>22</v>
      </c>
      <c r="EM128" t="s">
        <v>23</v>
      </c>
      <c r="EO128" t="s">
        <v>3</v>
      </c>
      <c r="EQ128">
        <v>1836032</v>
      </c>
      <c r="ER128">
        <v>1128.67</v>
      </c>
      <c r="ES128">
        <v>0.31</v>
      </c>
      <c r="ET128">
        <v>0</v>
      </c>
      <c r="EU128">
        <v>0</v>
      </c>
      <c r="EV128">
        <v>1128.3599999999999</v>
      </c>
      <c r="EW128">
        <v>1.59</v>
      </c>
      <c r="EX128">
        <v>0</v>
      </c>
      <c r="EY128">
        <v>0</v>
      </c>
      <c r="FQ128">
        <v>0</v>
      </c>
      <c r="FR128">
        <f t="shared" si="141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2029808212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42"/>
        <v>0</v>
      </c>
      <c r="GM128">
        <f t="shared" si="143"/>
        <v>121881.48</v>
      </c>
      <c r="GN128">
        <f t="shared" si="144"/>
        <v>0</v>
      </c>
      <c r="GO128">
        <f t="shared" si="145"/>
        <v>0</v>
      </c>
      <c r="GP128">
        <f t="shared" si="146"/>
        <v>121881.48</v>
      </c>
      <c r="GR128">
        <v>0</v>
      </c>
      <c r="GS128">
        <v>3</v>
      </c>
      <c r="GT128">
        <v>0</v>
      </c>
      <c r="GU128" t="s">
        <v>3</v>
      </c>
      <c r="GV128">
        <f t="shared" si="147"/>
        <v>0</v>
      </c>
      <c r="GW128">
        <v>1</v>
      </c>
      <c r="GX128">
        <f t="shared" si="148"/>
        <v>0</v>
      </c>
      <c r="HA128">
        <v>0</v>
      </c>
      <c r="HB128">
        <v>0</v>
      </c>
      <c r="HC128">
        <f t="shared" si="149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ROW(EtalonRes!A68)</f>
        <v>68</v>
      </c>
      <c r="E129" t="s">
        <v>178</v>
      </c>
      <c r="F129" t="s">
        <v>179</v>
      </c>
      <c r="G129" t="s">
        <v>180</v>
      </c>
      <c r="H129" t="s">
        <v>39</v>
      </c>
      <c r="I129">
        <f>ROUND(4*15,9)</f>
        <v>60</v>
      </c>
      <c r="J129">
        <v>0</v>
      </c>
      <c r="K129">
        <f>ROUND(4*15,9)</f>
        <v>60</v>
      </c>
      <c r="O129">
        <f t="shared" si="117"/>
        <v>5332.8</v>
      </c>
      <c r="P129">
        <f t="shared" si="118"/>
        <v>132</v>
      </c>
      <c r="Q129">
        <f t="shared" si="119"/>
        <v>13.8</v>
      </c>
      <c r="R129">
        <f t="shared" si="120"/>
        <v>0</v>
      </c>
      <c r="S129">
        <f t="shared" si="121"/>
        <v>5187</v>
      </c>
      <c r="T129">
        <f t="shared" si="122"/>
        <v>0</v>
      </c>
      <c r="U129">
        <f t="shared" si="123"/>
        <v>8.4</v>
      </c>
      <c r="V129">
        <f t="shared" si="124"/>
        <v>0</v>
      </c>
      <c r="W129">
        <f t="shared" si="125"/>
        <v>0</v>
      </c>
      <c r="X129">
        <f t="shared" si="126"/>
        <v>3630.9</v>
      </c>
      <c r="Y129">
        <f t="shared" si="127"/>
        <v>518.70000000000005</v>
      </c>
      <c r="AA129">
        <v>1471531721</v>
      </c>
      <c r="AB129">
        <f t="shared" si="128"/>
        <v>88.88</v>
      </c>
      <c r="AC129">
        <f>ROUND((ES129),6)</f>
        <v>2.2000000000000002</v>
      </c>
      <c r="AD129">
        <f>ROUND((((ET129)-(EU129))+AE129),6)</f>
        <v>0.23</v>
      </c>
      <c r="AE129">
        <f>ROUND((EU129),6)</f>
        <v>0</v>
      </c>
      <c r="AF129">
        <f>ROUND((EV129),6)</f>
        <v>86.45</v>
      </c>
      <c r="AG129">
        <f t="shared" si="129"/>
        <v>0</v>
      </c>
      <c r="AH129">
        <f>(EW129)</f>
        <v>0.14000000000000001</v>
      </c>
      <c r="AI129">
        <f>(EX129)</f>
        <v>0</v>
      </c>
      <c r="AJ129">
        <f t="shared" si="130"/>
        <v>0</v>
      </c>
      <c r="AK129">
        <v>88.88</v>
      </c>
      <c r="AL129">
        <v>2.2000000000000002</v>
      </c>
      <c r="AM129">
        <v>0.23</v>
      </c>
      <c r="AN129">
        <v>0</v>
      </c>
      <c r="AO129">
        <v>86.45</v>
      </c>
      <c r="AP129">
        <v>0</v>
      </c>
      <c r="AQ129">
        <v>0.14000000000000001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181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31"/>
        <v>5332.8</v>
      </c>
      <c r="CQ129">
        <f t="shared" si="132"/>
        <v>2.2000000000000002</v>
      </c>
      <c r="CR129">
        <f>((((ET129)*BB129-(EU129)*BS129)+AE129*BS129)*AV129)</f>
        <v>0.23</v>
      </c>
      <c r="CS129">
        <f t="shared" si="133"/>
        <v>0</v>
      </c>
      <c r="CT129">
        <f t="shared" si="134"/>
        <v>86.45</v>
      </c>
      <c r="CU129">
        <f t="shared" si="135"/>
        <v>0</v>
      </c>
      <c r="CV129">
        <f t="shared" si="136"/>
        <v>0.14000000000000001</v>
      </c>
      <c r="CW129">
        <f t="shared" si="137"/>
        <v>0</v>
      </c>
      <c r="CX129">
        <f t="shared" si="138"/>
        <v>0</v>
      </c>
      <c r="CY129">
        <f t="shared" si="139"/>
        <v>3630.9</v>
      </c>
      <c r="CZ129">
        <f t="shared" si="140"/>
        <v>518.70000000000005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39</v>
      </c>
      <c r="DW129" t="s">
        <v>39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21</v>
      </c>
      <c r="EH129">
        <v>0</v>
      </c>
      <c r="EI129" t="s">
        <v>3</v>
      </c>
      <c r="EJ129">
        <v>4</v>
      </c>
      <c r="EK129">
        <v>0</v>
      </c>
      <c r="EL129" t="s">
        <v>22</v>
      </c>
      <c r="EM129" t="s">
        <v>23</v>
      </c>
      <c r="EO129" t="s">
        <v>3</v>
      </c>
      <c r="EQ129">
        <v>0</v>
      </c>
      <c r="ER129">
        <v>88.88</v>
      </c>
      <c r="ES129">
        <v>2.2000000000000002</v>
      </c>
      <c r="ET129">
        <v>0.23</v>
      </c>
      <c r="EU129">
        <v>0</v>
      </c>
      <c r="EV129">
        <v>86.45</v>
      </c>
      <c r="EW129">
        <v>0.14000000000000001</v>
      </c>
      <c r="EX129">
        <v>0</v>
      </c>
      <c r="EY129">
        <v>0</v>
      </c>
      <c r="FQ129">
        <v>0</v>
      </c>
      <c r="FR129">
        <f t="shared" si="141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-129403832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42"/>
        <v>0</v>
      </c>
      <c r="GM129">
        <f t="shared" si="143"/>
        <v>9482.4</v>
      </c>
      <c r="GN129">
        <f t="shared" si="144"/>
        <v>0</v>
      </c>
      <c r="GO129">
        <f t="shared" si="145"/>
        <v>0</v>
      </c>
      <c r="GP129">
        <f t="shared" si="146"/>
        <v>9482.4</v>
      </c>
      <c r="GR129">
        <v>0</v>
      </c>
      <c r="GS129">
        <v>3</v>
      </c>
      <c r="GT129">
        <v>0</v>
      </c>
      <c r="GU129" t="s">
        <v>3</v>
      </c>
      <c r="GV129">
        <f t="shared" si="147"/>
        <v>0</v>
      </c>
      <c r="GW129">
        <v>1</v>
      </c>
      <c r="GX129">
        <f t="shared" si="148"/>
        <v>0</v>
      </c>
      <c r="HA129">
        <v>0</v>
      </c>
      <c r="HB129">
        <v>0</v>
      </c>
      <c r="HC129">
        <f t="shared" si="149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D130">
        <f>ROW(EtalonRes!A69)</f>
        <v>69</v>
      </c>
      <c r="E130" t="s">
        <v>3</v>
      </c>
      <c r="F130" t="s">
        <v>182</v>
      </c>
      <c r="G130" t="s">
        <v>183</v>
      </c>
      <c r="H130" t="s">
        <v>18</v>
      </c>
      <c r="I130">
        <f>ROUND(4*15/10,9)</f>
        <v>6</v>
      </c>
      <c r="J130">
        <v>0</v>
      </c>
      <c r="K130">
        <f>ROUND(4*15/10,9)</f>
        <v>6</v>
      </c>
      <c r="O130">
        <f t="shared" si="117"/>
        <v>3740.58</v>
      </c>
      <c r="P130">
        <f t="shared" si="118"/>
        <v>0</v>
      </c>
      <c r="Q130">
        <f t="shared" si="119"/>
        <v>0</v>
      </c>
      <c r="R130">
        <f t="shared" si="120"/>
        <v>0</v>
      </c>
      <c r="S130">
        <f t="shared" si="121"/>
        <v>3740.58</v>
      </c>
      <c r="T130">
        <f t="shared" si="122"/>
        <v>0</v>
      </c>
      <c r="U130">
        <f t="shared" si="123"/>
        <v>7.38</v>
      </c>
      <c r="V130">
        <f t="shared" si="124"/>
        <v>0</v>
      </c>
      <c r="W130">
        <f t="shared" si="125"/>
        <v>0</v>
      </c>
      <c r="X130">
        <f t="shared" si="126"/>
        <v>2618.41</v>
      </c>
      <c r="Y130">
        <f t="shared" si="127"/>
        <v>374.06</v>
      </c>
      <c r="AA130">
        <v>-1</v>
      </c>
      <c r="AB130">
        <f t="shared" si="128"/>
        <v>623.42999999999995</v>
      </c>
      <c r="AC130">
        <f>ROUND(((ES130*3)),6)</f>
        <v>0</v>
      </c>
      <c r="AD130">
        <f>ROUND(((((ET130*3))-((EU130*3)))+AE130),6)</f>
        <v>0</v>
      </c>
      <c r="AE130">
        <f>ROUND(((EU130*3)),6)</f>
        <v>0</v>
      </c>
      <c r="AF130">
        <f>ROUND(((EV130*3)),6)</f>
        <v>623.42999999999995</v>
      </c>
      <c r="AG130">
        <f t="shared" si="129"/>
        <v>0</v>
      </c>
      <c r="AH130">
        <f>((EW130*3))</f>
        <v>1.23</v>
      </c>
      <c r="AI130">
        <f>((EX130*3))</f>
        <v>0</v>
      </c>
      <c r="AJ130">
        <f t="shared" si="130"/>
        <v>0</v>
      </c>
      <c r="AK130">
        <v>207.81</v>
      </c>
      <c r="AL130">
        <v>0</v>
      </c>
      <c r="AM130">
        <v>0</v>
      </c>
      <c r="AN130">
        <v>0</v>
      </c>
      <c r="AO130">
        <v>207.81</v>
      </c>
      <c r="AP130">
        <v>0</v>
      </c>
      <c r="AQ130">
        <v>0.41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184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31"/>
        <v>3740.58</v>
      </c>
      <c r="CQ130">
        <f t="shared" si="132"/>
        <v>0</v>
      </c>
      <c r="CR130">
        <f>(((((ET130*3))*BB130-((EU130*3))*BS130)+AE130*BS130)*AV130)</f>
        <v>0</v>
      </c>
      <c r="CS130">
        <f t="shared" si="133"/>
        <v>0</v>
      </c>
      <c r="CT130">
        <f t="shared" si="134"/>
        <v>623.42999999999995</v>
      </c>
      <c r="CU130">
        <f t="shared" si="135"/>
        <v>0</v>
      </c>
      <c r="CV130">
        <f t="shared" si="136"/>
        <v>1.23</v>
      </c>
      <c r="CW130">
        <f t="shared" si="137"/>
        <v>0</v>
      </c>
      <c r="CX130">
        <f t="shared" si="138"/>
        <v>0</v>
      </c>
      <c r="CY130">
        <f t="shared" si="139"/>
        <v>2618.4059999999999</v>
      </c>
      <c r="CZ130">
        <f t="shared" si="140"/>
        <v>374.05800000000005</v>
      </c>
      <c r="DC130" t="s">
        <v>3</v>
      </c>
      <c r="DD130" t="s">
        <v>156</v>
      </c>
      <c r="DE130" t="s">
        <v>156</v>
      </c>
      <c r="DF130" t="s">
        <v>156</v>
      </c>
      <c r="DG130" t="s">
        <v>156</v>
      </c>
      <c r="DH130" t="s">
        <v>3</v>
      </c>
      <c r="DI130" t="s">
        <v>156</v>
      </c>
      <c r="DJ130" t="s">
        <v>156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16987630</v>
      </c>
      <c r="DV130" t="s">
        <v>18</v>
      </c>
      <c r="DW130" t="s">
        <v>18</v>
      </c>
      <c r="DX130">
        <v>10</v>
      </c>
      <c r="DZ130" t="s">
        <v>3</v>
      </c>
      <c r="EA130" t="s">
        <v>3</v>
      </c>
      <c r="EB130" t="s">
        <v>3</v>
      </c>
      <c r="EC130" t="s">
        <v>3</v>
      </c>
      <c r="EE130">
        <v>1441815344</v>
      </c>
      <c r="EF130">
        <v>1</v>
      </c>
      <c r="EG130" t="s">
        <v>21</v>
      </c>
      <c r="EH130">
        <v>0</v>
      </c>
      <c r="EI130" t="s">
        <v>3</v>
      </c>
      <c r="EJ130">
        <v>4</v>
      </c>
      <c r="EK130">
        <v>0</v>
      </c>
      <c r="EL130" t="s">
        <v>22</v>
      </c>
      <c r="EM130" t="s">
        <v>23</v>
      </c>
      <c r="EO130" t="s">
        <v>3</v>
      </c>
      <c r="EQ130">
        <v>1024</v>
      </c>
      <c r="ER130">
        <v>207.81</v>
      </c>
      <c r="ES130">
        <v>0</v>
      </c>
      <c r="ET130">
        <v>0</v>
      </c>
      <c r="EU130">
        <v>0</v>
      </c>
      <c r="EV130">
        <v>207.81</v>
      </c>
      <c r="EW130">
        <v>0.41</v>
      </c>
      <c r="EX130">
        <v>0</v>
      </c>
      <c r="EY130">
        <v>0</v>
      </c>
      <c r="FQ130">
        <v>0</v>
      </c>
      <c r="FR130">
        <f t="shared" si="141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1497006217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42"/>
        <v>0</v>
      </c>
      <c r="GM130">
        <f t="shared" si="143"/>
        <v>6733.05</v>
      </c>
      <c r="GN130">
        <f t="shared" si="144"/>
        <v>0</v>
      </c>
      <c r="GO130">
        <f t="shared" si="145"/>
        <v>0</v>
      </c>
      <c r="GP130">
        <f t="shared" si="146"/>
        <v>6733.05</v>
      </c>
      <c r="GR130">
        <v>0</v>
      </c>
      <c r="GS130">
        <v>3</v>
      </c>
      <c r="GT130">
        <v>0</v>
      </c>
      <c r="GU130" t="s">
        <v>3</v>
      </c>
      <c r="GV130">
        <f t="shared" si="147"/>
        <v>0</v>
      </c>
      <c r="GW130">
        <v>1</v>
      </c>
      <c r="GX130">
        <f t="shared" si="148"/>
        <v>0</v>
      </c>
      <c r="HA130">
        <v>0</v>
      </c>
      <c r="HB130">
        <v>0</v>
      </c>
      <c r="HC130">
        <f t="shared" si="149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1</v>
      </c>
      <c r="D131">
        <f>ROW(EtalonRes!A72)</f>
        <v>72</v>
      </c>
      <c r="E131" t="s">
        <v>3</v>
      </c>
      <c r="F131" t="s">
        <v>185</v>
      </c>
      <c r="G131" t="s">
        <v>186</v>
      </c>
      <c r="H131" t="s">
        <v>31</v>
      </c>
      <c r="I131">
        <f>ROUND((3*13)/100,9)</f>
        <v>0.39</v>
      </c>
      <c r="J131">
        <v>0</v>
      </c>
      <c r="K131">
        <f>ROUND((3*13)/100,9)</f>
        <v>0.39</v>
      </c>
      <c r="O131">
        <f t="shared" si="117"/>
        <v>21644.94</v>
      </c>
      <c r="P131">
        <f t="shared" si="118"/>
        <v>3907.04</v>
      </c>
      <c r="Q131">
        <f t="shared" si="119"/>
        <v>0</v>
      </c>
      <c r="R131">
        <f t="shared" si="120"/>
        <v>0</v>
      </c>
      <c r="S131">
        <f t="shared" si="121"/>
        <v>17737.900000000001</v>
      </c>
      <c r="T131">
        <f t="shared" si="122"/>
        <v>0</v>
      </c>
      <c r="U131">
        <f t="shared" si="123"/>
        <v>54.463499999999996</v>
      </c>
      <c r="V131">
        <f t="shared" si="124"/>
        <v>0</v>
      </c>
      <c r="W131">
        <f t="shared" si="125"/>
        <v>0</v>
      </c>
      <c r="X131">
        <f t="shared" si="126"/>
        <v>12416.53</v>
      </c>
      <c r="Y131">
        <f t="shared" si="127"/>
        <v>1773.79</v>
      </c>
      <c r="AA131">
        <v>-1</v>
      </c>
      <c r="AB131">
        <f t="shared" si="128"/>
        <v>55499.85</v>
      </c>
      <c r="AC131">
        <f>ROUND(((ES131*245)),6)</f>
        <v>10018.049999999999</v>
      </c>
      <c r="AD131">
        <f>ROUND((((ET131)-(EU131))+AE131),6)</f>
        <v>0</v>
      </c>
      <c r="AE131">
        <f>ROUND((EU131),6)</f>
        <v>0</v>
      </c>
      <c r="AF131">
        <f>ROUND(((EV131*245)),6)</f>
        <v>45481.8</v>
      </c>
      <c r="AG131">
        <f t="shared" si="129"/>
        <v>0</v>
      </c>
      <c r="AH131">
        <f>((EW131*245))</f>
        <v>139.64999999999998</v>
      </c>
      <c r="AI131">
        <f>(EX131)</f>
        <v>0</v>
      </c>
      <c r="AJ131">
        <f t="shared" si="130"/>
        <v>0</v>
      </c>
      <c r="AK131">
        <v>226.53</v>
      </c>
      <c r="AL131">
        <v>40.89</v>
      </c>
      <c r="AM131">
        <v>0</v>
      </c>
      <c r="AN131">
        <v>0</v>
      </c>
      <c r="AO131">
        <v>185.64</v>
      </c>
      <c r="AP131">
        <v>0</v>
      </c>
      <c r="AQ131">
        <v>0.56999999999999995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187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31"/>
        <v>21644.940000000002</v>
      </c>
      <c r="CQ131">
        <f t="shared" si="132"/>
        <v>10018.049999999999</v>
      </c>
      <c r="CR131">
        <f>((((ET131)*BB131-(EU131)*BS131)+AE131*BS131)*AV131)</f>
        <v>0</v>
      </c>
      <c r="CS131">
        <f t="shared" si="133"/>
        <v>0</v>
      </c>
      <c r="CT131">
        <f t="shared" si="134"/>
        <v>45481.8</v>
      </c>
      <c r="CU131">
        <f t="shared" si="135"/>
        <v>0</v>
      </c>
      <c r="CV131">
        <f t="shared" si="136"/>
        <v>139.64999999999998</v>
      </c>
      <c r="CW131">
        <f t="shared" si="137"/>
        <v>0</v>
      </c>
      <c r="CX131">
        <f t="shared" si="138"/>
        <v>0</v>
      </c>
      <c r="CY131">
        <f t="shared" si="139"/>
        <v>12416.53</v>
      </c>
      <c r="CZ131">
        <f t="shared" si="140"/>
        <v>1773.79</v>
      </c>
      <c r="DC131" t="s">
        <v>3</v>
      </c>
      <c r="DD131" t="s">
        <v>82</v>
      </c>
      <c r="DE131" t="s">
        <v>3</v>
      </c>
      <c r="DF131" t="s">
        <v>3</v>
      </c>
      <c r="DG131" t="s">
        <v>82</v>
      </c>
      <c r="DH131" t="s">
        <v>3</v>
      </c>
      <c r="DI131" t="s">
        <v>82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31</v>
      </c>
      <c r="DW131" t="s">
        <v>31</v>
      </c>
      <c r="DX131">
        <v>100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21</v>
      </c>
      <c r="EH131">
        <v>0</v>
      </c>
      <c r="EI131" t="s">
        <v>3</v>
      </c>
      <c r="EJ131">
        <v>4</v>
      </c>
      <c r="EK131">
        <v>0</v>
      </c>
      <c r="EL131" t="s">
        <v>22</v>
      </c>
      <c r="EM131" t="s">
        <v>23</v>
      </c>
      <c r="EO131" t="s">
        <v>3</v>
      </c>
      <c r="EQ131">
        <v>1024</v>
      </c>
      <c r="ER131">
        <v>226.53</v>
      </c>
      <c r="ES131">
        <v>40.89</v>
      </c>
      <c r="ET131">
        <v>0</v>
      </c>
      <c r="EU131">
        <v>0</v>
      </c>
      <c r="EV131">
        <v>185.64</v>
      </c>
      <c r="EW131">
        <v>0.56999999999999995</v>
      </c>
      <c r="EX131">
        <v>0</v>
      </c>
      <c r="EY131">
        <v>0</v>
      </c>
      <c r="FQ131">
        <v>0</v>
      </c>
      <c r="FR131">
        <f t="shared" si="141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1227685482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si="142"/>
        <v>0</v>
      </c>
      <c r="GM131">
        <f t="shared" si="143"/>
        <v>35835.26</v>
      </c>
      <c r="GN131">
        <f t="shared" si="144"/>
        <v>0</v>
      </c>
      <c r="GO131">
        <f t="shared" si="145"/>
        <v>0</v>
      </c>
      <c r="GP131">
        <f t="shared" si="146"/>
        <v>35835.26</v>
      </c>
      <c r="GR131">
        <v>0</v>
      </c>
      <c r="GS131">
        <v>3</v>
      </c>
      <c r="GT131">
        <v>0</v>
      </c>
      <c r="GU131" t="s">
        <v>3</v>
      </c>
      <c r="GV131">
        <f t="shared" si="147"/>
        <v>0</v>
      </c>
      <c r="GW131">
        <v>1</v>
      </c>
      <c r="GX131">
        <f t="shared" si="148"/>
        <v>0</v>
      </c>
      <c r="HA131">
        <v>0</v>
      </c>
      <c r="HB131">
        <v>0</v>
      </c>
      <c r="HC131">
        <f t="shared" si="149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D132">
        <f>ROW(EtalonRes!A74)</f>
        <v>74</v>
      </c>
      <c r="E132" t="s">
        <v>188</v>
      </c>
      <c r="F132" t="s">
        <v>189</v>
      </c>
      <c r="G132" t="s">
        <v>190</v>
      </c>
      <c r="H132" t="s">
        <v>39</v>
      </c>
      <c r="I132">
        <f>ROUND(3*15,9)</f>
        <v>45</v>
      </c>
      <c r="J132">
        <v>0</v>
      </c>
      <c r="K132">
        <f>ROUND(3*15,9)</f>
        <v>45</v>
      </c>
      <c r="O132">
        <f t="shared" si="117"/>
        <v>8126.55</v>
      </c>
      <c r="P132">
        <f t="shared" si="118"/>
        <v>371.7</v>
      </c>
      <c r="Q132">
        <f t="shared" si="119"/>
        <v>0</v>
      </c>
      <c r="R132">
        <f t="shared" si="120"/>
        <v>0</v>
      </c>
      <c r="S132">
        <f t="shared" si="121"/>
        <v>7754.85</v>
      </c>
      <c r="T132">
        <f t="shared" si="122"/>
        <v>0</v>
      </c>
      <c r="U132">
        <f t="shared" si="123"/>
        <v>15.3</v>
      </c>
      <c r="V132">
        <f t="shared" si="124"/>
        <v>0</v>
      </c>
      <c r="W132">
        <f t="shared" si="125"/>
        <v>0</v>
      </c>
      <c r="X132">
        <f t="shared" si="126"/>
        <v>5428.4</v>
      </c>
      <c r="Y132">
        <f t="shared" si="127"/>
        <v>775.49</v>
      </c>
      <c r="AA132">
        <v>1471531721</v>
      </c>
      <c r="AB132">
        <f t="shared" si="128"/>
        <v>180.59</v>
      </c>
      <c r="AC132">
        <f>ROUND((ES132),6)</f>
        <v>8.26</v>
      </c>
      <c r="AD132">
        <f>ROUND((((ET132)-(EU132))+AE132),6)</f>
        <v>0</v>
      </c>
      <c r="AE132">
        <f>ROUND((EU132),6)</f>
        <v>0</v>
      </c>
      <c r="AF132">
        <f>ROUND((EV132),6)</f>
        <v>172.33</v>
      </c>
      <c r="AG132">
        <f t="shared" si="129"/>
        <v>0</v>
      </c>
      <c r="AH132">
        <f>(EW132)</f>
        <v>0.34</v>
      </c>
      <c r="AI132">
        <f>(EX132)</f>
        <v>0</v>
      </c>
      <c r="AJ132">
        <f t="shared" si="130"/>
        <v>0</v>
      </c>
      <c r="AK132">
        <v>180.59</v>
      </c>
      <c r="AL132">
        <v>8.26</v>
      </c>
      <c r="AM132">
        <v>0</v>
      </c>
      <c r="AN132">
        <v>0</v>
      </c>
      <c r="AO132">
        <v>172.33</v>
      </c>
      <c r="AP132">
        <v>0</v>
      </c>
      <c r="AQ132">
        <v>0.34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191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31"/>
        <v>8126.55</v>
      </c>
      <c r="CQ132">
        <f t="shared" si="132"/>
        <v>8.26</v>
      </c>
      <c r="CR132">
        <f>((((ET132)*BB132-(EU132)*BS132)+AE132*BS132)*AV132)</f>
        <v>0</v>
      </c>
      <c r="CS132">
        <f t="shared" si="133"/>
        <v>0</v>
      </c>
      <c r="CT132">
        <f t="shared" si="134"/>
        <v>172.33</v>
      </c>
      <c r="CU132">
        <f t="shared" si="135"/>
        <v>0</v>
      </c>
      <c r="CV132">
        <f t="shared" si="136"/>
        <v>0.34</v>
      </c>
      <c r="CW132">
        <f t="shared" si="137"/>
        <v>0</v>
      </c>
      <c r="CX132">
        <f t="shared" si="138"/>
        <v>0</v>
      </c>
      <c r="CY132">
        <f t="shared" si="139"/>
        <v>5428.3950000000004</v>
      </c>
      <c r="CZ132">
        <f t="shared" si="140"/>
        <v>775.48500000000001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16987630</v>
      </c>
      <c r="DV132" t="s">
        <v>39</v>
      </c>
      <c r="DW132" t="s">
        <v>39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21</v>
      </c>
      <c r="EH132">
        <v>0</v>
      </c>
      <c r="EI132" t="s">
        <v>3</v>
      </c>
      <c r="EJ132">
        <v>4</v>
      </c>
      <c r="EK132">
        <v>0</v>
      </c>
      <c r="EL132" t="s">
        <v>22</v>
      </c>
      <c r="EM132" t="s">
        <v>23</v>
      </c>
      <c r="EO132" t="s">
        <v>3</v>
      </c>
      <c r="EQ132">
        <v>0</v>
      </c>
      <c r="ER132">
        <v>180.59</v>
      </c>
      <c r="ES132">
        <v>8.26</v>
      </c>
      <c r="ET132">
        <v>0</v>
      </c>
      <c r="EU132">
        <v>0</v>
      </c>
      <c r="EV132">
        <v>172.33</v>
      </c>
      <c r="EW132">
        <v>0.34</v>
      </c>
      <c r="EX132">
        <v>0</v>
      </c>
      <c r="EY132">
        <v>0</v>
      </c>
      <c r="FQ132">
        <v>0</v>
      </c>
      <c r="FR132">
        <f t="shared" si="141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771280347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</v>
      </c>
      <c r="GL132">
        <f t="shared" si="142"/>
        <v>0</v>
      </c>
      <c r="GM132">
        <f t="shared" si="143"/>
        <v>14330.44</v>
      </c>
      <c r="GN132">
        <f t="shared" si="144"/>
        <v>0</v>
      </c>
      <c r="GO132">
        <f t="shared" si="145"/>
        <v>0</v>
      </c>
      <c r="GP132">
        <f t="shared" si="146"/>
        <v>14330.44</v>
      </c>
      <c r="GR132">
        <v>0</v>
      </c>
      <c r="GS132">
        <v>3</v>
      </c>
      <c r="GT132">
        <v>0</v>
      </c>
      <c r="GU132" t="s">
        <v>3</v>
      </c>
      <c r="GV132">
        <f t="shared" si="147"/>
        <v>0</v>
      </c>
      <c r="GW132">
        <v>1</v>
      </c>
      <c r="GX132">
        <f t="shared" si="148"/>
        <v>0</v>
      </c>
      <c r="HA132">
        <v>0</v>
      </c>
      <c r="HB132">
        <v>0</v>
      </c>
      <c r="HC132">
        <f t="shared" si="149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ROW(EtalonRes!A76)</f>
        <v>76</v>
      </c>
      <c r="E133" t="s">
        <v>192</v>
      </c>
      <c r="F133" t="s">
        <v>193</v>
      </c>
      <c r="G133" t="s">
        <v>194</v>
      </c>
      <c r="H133" t="s">
        <v>39</v>
      </c>
      <c r="I133">
        <f>ROUND(15,9)</f>
        <v>15</v>
      </c>
      <c r="J133">
        <v>0</v>
      </c>
      <c r="K133">
        <f>ROUND(15,9)</f>
        <v>15</v>
      </c>
      <c r="O133">
        <f t="shared" si="117"/>
        <v>1597.46</v>
      </c>
      <c r="P133">
        <f t="shared" si="118"/>
        <v>18.899999999999999</v>
      </c>
      <c r="Q133">
        <f t="shared" si="119"/>
        <v>0</v>
      </c>
      <c r="R133">
        <f t="shared" si="120"/>
        <v>0</v>
      </c>
      <c r="S133">
        <f t="shared" si="121"/>
        <v>1578.56</v>
      </c>
      <c r="T133">
        <f t="shared" si="122"/>
        <v>0</v>
      </c>
      <c r="U133">
        <f t="shared" si="123"/>
        <v>2.8080000000000003</v>
      </c>
      <c r="V133">
        <f t="shared" si="124"/>
        <v>0</v>
      </c>
      <c r="W133">
        <f t="shared" si="125"/>
        <v>0</v>
      </c>
      <c r="X133">
        <f t="shared" si="126"/>
        <v>1104.99</v>
      </c>
      <c r="Y133">
        <f t="shared" si="127"/>
        <v>157.86000000000001</v>
      </c>
      <c r="AA133">
        <v>1471531721</v>
      </c>
      <c r="AB133">
        <f t="shared" si="128"/>
        <v>106.49760000000001</v>
      </c>
      <c r="AC133">
        <f>ROUND((ES133),6)</f>
        <v>1.26</v>
      </c>
      <c r="AD133">
        <f>ROUND((((ET133)-(EU133))+AE133),6)</f>
        <v>0</v>
      </c>
      <c r="AE133">
        <f>ROUND((EU133),6)</f>
        <v>0</v>
      </c>
      <c r="AF133">
        <f>ROUND(((EV133*1.04)),6)</f>
        <v>105.2376</v>
      </c>
      <c r="AG133">
        <f t="shared" si="129"/>
        <v>0</v>
      </c>
      <c r="AH133">
        <f>((EW133*1.04))</f>
        <v>0.18720000000000001</v>
      </c>
      <c r="AI133">
        <f>(EX133)</f>
        <v>0</v>
      </c>
      <c r="AJ133">
        <f t="shared" si="130"/>
        <v>0</v>
      </c>
      <c r="AK133">
        <v>102.45</v>
      </c>
      <c r="AL133">
        <v>1.26</v>
      </c>
      <c r="AM133">
        <v>0</v>
      </c>
      <c r="AN133">
        <v>0</v>
      </c>
      <c r="AO133">
        <v>101.19</v>
      </c>
      <c r="AP133">
        <v>0</v>
      </c>
      <c r="AQ133">
        <v>0.18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195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196</v>
      </c>
      <c r="CO133">
        <v>0</v>
      </c>
      <c r="CP133">
        <f t="shared" si="131"/>
        <v>1597.46</v>
      </c>
      <c r="CQ133">
        <f t="shared" si="132"/>
        <v>1.26</v>
      </c>
      <c r="CR133">
        <f>((((ET133)*BB133-(EU133)*BS133)+AE133*BS133)*AV133)</f>
        <v>0</v>
      </c>
      <c r="CS133">
        <f t="shared" si="133"/>
        <v>0</v>
      </c>
      <c r="CT133">
        <f t="shared" si="134"/>
        <v>105.2376</v>
      </c>
      <c r="CU133">
        <f t="shared" si="135"/>
        <v>0</v>
      </c>
      <c r="CV133">
        <f t="shared" si="136"/>
        <v>0.18720000000000001</v>
      </c>
      <c r="CW133">
        <f t="shared" si="137"/>
        <v>0</v>
      </c>
      <c r="CX133">
        <f t="shared" si="138"/>
        <v>0</v>
      </c>
      <c r="CY133">
        <f t="shared" si="139"/>
        <v>1104.992</v>
      </c>
      <c r="CZ133">
        <f t="shared" si="140"/>
        <v>157.85599999999999</v>
      </c>
      <c r="DC133" t="s">
        <v>3</v>
      </c>
      <c r="DD133" t="s">
        <v>3</v>
      </c>
      <c r="DE133" t="s">
        <v>3</v>
      </c>
      <c r="DF133" t="s">
        <v>3</v>
      </c>
      <c r="DG133" t="s">
        <v>197</v>
      </c>
      <c r="DH133" t="s">
        <v>3</v>
      </c>
      <c r="DI133" t="s">
        <v>197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16987630</v>
      </c>
      <c r="DV133" t="s">
        <v>39</v>
      </c>
      <c r="DW133" t="s">
        <v>39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21</v>
      </c>
      <c r="EH133">
        <v>0</v>
      </c>
      <c r="EI133" t="s">
        <v>3</v>
      </c>
      <c r="EJ133">
        <v>4</v>
      </c>
      <c r="EK133">
        <v>0</v>
      </c>
      <c r="EL133" t="s">
        <v>22</v>
      </c>
      <c r="EM133" t="s">
        <v>23</v>
      </c>
      <c r="EO133" t="s">
        <v>198</v>
      </c>
      <c r="EQ133">
        <v>768</v>
      </c>
      <c r="ER133">
        <v>102.45</v>
      </c>
      <c r="ES133">
        <v>1.26</v>
      </c>
      <c r="ET133">
        <v>0</v>
      </c>
      <c r="EU133">
        <v>0</v>
      </c>
      <c r="EV133">
        <v>101.19</v>
      </c>
      <c r="EW133">
        <v>0.18</v>
      </c>
      <c r="EX133">
        <v>0</v>
      </c>
      <c r="EY133">
        <v>0</v>
      </c>
      <c r="FQ133">
        <v>0</v>
      </c>
      <c r="FR133">
        <f t="shared" si="141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-74619418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42"/>
        <v>0</v>
      </c>
      <c r="GM133">
        <f t="shared" si="143"/>
        <v>2860.31</v>
      </c>
      <c r="GN133">
        <f t="shared" si="144"/>
        <v>0</v>
      </c>
      <c r="GO133">
        <f t="shared" si="145"/>
        <v>0</v>
      </c>
      <c r="GP133">
        <f t="shared" si="146"/>
        <v>2860.31</v>
      </c>
      <c r="GR133">
        <v>0</v>
      </c>
      <c r="GS133">
        <v>3</v>
      </c>
      <c r="GT133">
        <v>0</v>
      </c>
      <c r="GU133" t="s">
        <v>3</v>
      </c>
      <c r="GV133">
        <f t="shared" si="147"/>
        <v>0</v>
      </c>
      <c r="GW133">
        <v>1</v>
      </c>
      <c r="GX133">
        <f t="shared" si="148"/>
        <v>0</v>
      </c>
      <c r="HA133">
        <v>0</v>
      </c>
      <c r="HB133">
        <v>0</v>
      </c>
      <c r="HC133">
        <f t="shared" si="149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ROW(EtalonRes!A78)</f>
        <v>78</v>
      </c>
      <c r="E134" t="s">
        <v>199</v>
      </c>
      <c r="F134" t="s">
        <v>200</v>
      </c>
      <c r="G134" t="s">
        <v>201</v>
      </c>
      <c r="H134" t="s">
        <v>39</v>
      </c>
      <c r="I134">
        <f>ROUND((4)*15,9)</f>
        <v>60</v>
      </c>
      <c r="J134">
        <v>0</v>
      </c>
      <c r="K134">
        <f>ROUND((4)*15,9)</f>
        <v>60</v>
      </c>
      <c r="O134">
        <f t="shared" si="117"/>
        <v>10561.56</v>
      </c>
      <c r="P134">
        <f t="shared" si="118"/>
        <v>37.799999999999997</v>
      </c>
      <c r="Q134">
        <f t="shared" si="119"/>
        <v>0</v>
      </c>
      <c r="R134">
        <f t="shared" si="120"/>
        <v>0</v>
      </c>
      <c r="S134">
        <f t="shared" si="121"/>
        <v>10523.76</v>
      </c>
      <c r="T134">
        <f t="shared" si="122"/>
        <v>0</v>
      </c>
      <c r="U134">
        <f t="shared" si="123"/>
        <v>18.72</v>
      </c>
      <c r="V134">
        <f t="shared" si="124"/>
        <v>0</v>
      </c>
      <c r="W134">
        <f t="shared" si="125"/>
        <v>0</v>
      </c>
      <c r="X134">
        <f t="shared" si="126"/>
        <v>7366.63</v>
      </c>
      <c r="Y134">
        <f t="shared" si="127"/>
        <v>1052.3800000000001</v>
      </c>
      <c r="AA134">
        <v>1471531721</v>
      </c>
      <c r="AB134">
        <f t="shared" si="128"/>
        <v>176.02600000000001</v>
      </c>
      <c r="AC134">
        <f>ROUND((ES134),6)</f>
        <v>0.63</v>
      </c>
      <c r="AD134">
        <f>ROUND((((ET134)-(EU134))+AE134),6)</f>
        <v>0</v>
      </c>
      <c r="AE134">
        <f>ROUND((EU134),6)</f>
        <v>0</v>
      </c>
      <c r="AF134">
        <f>ROUND(((EV134*1.04)),6)</f>
        <v>175.39599999999999</v>
      </c>
      <c r="AG134">
        <f t="shared" si="129"/>
        <v>0</v>
      </c>
      <c r="AH134">
        <f>((EW134*1.04))</f>
        <v>0.312</v>
      </c>
      <c r="AI134">
        <f>(EX134)</f>
        <v>0</v>
      </c>
      <c r="AJ134">
        <f t="shared" si="130"/>
        <v>0</v>
      </c>
      <c r="AK134">
        <v>169.28</v>
      </c>
      <c r="AL134">
        <v>0.63</v>
      </c>
      <c r="AM134">
        <v>0</v>
      </c>
      <c r="AN134">
        <v>0</v>
      </c>
      <c r="AO134">
        <v>168.65</v>
      </c>
      <c r="AP134">
        <v>0</v>
      </c>
      <c r="AQ134">
        <v>0.3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202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196</v>
      </c>
      <c r="CO134">
        <v>0</v>
      </c>
      <c r="CP134">
        <f t="shared" si="131"/>
        <v>10561.56</v>
      </c>
      <c r="CQ134">
        <f t="shared" si="132"/>
        <v>0.63</v>
      </c>
      <c r="CR134">
        <f>((((ET134)*BB134-(EU134)*BS134)+AE134*BS134)*AV134)</f>
        <v>0</v>
      </c>
      <c r="CS134">
        <f t="shared" si="133"/>
        <v>0</v>
      </c>
      <c r="CT134">
        <f t="shared" si="134"/>
        <v>175.39599999999999</v>
      </c>
      <c r="CU134">
        <f t="shared" si="135"/>
        <v>0</v>
      </c>
      <c r="CV134">
        <f t="shared" si="136"/>
        <v>0.312</v>
      </c>
      <c r="CW134">
        <f t="shared" si="137"/>
        <v>0</v>
      </c>
      <c r="CX134">
        <f t="shared" si="138"/>
        <v>0</v>
      </c>
      <c r="CY134">
        <f t="shared" si="139"/>
        <v>7366.6320000000005</v>
      </c>
      <c r="CZ134">
        <f t="shared" si="140"/>
        <v>1052.376</v>
      </c>
      <c r="DC134" t="s">
        <v>3</v>
      </c>
      <c r="DD134" t="s">
        <v>3</v>
      </c>
      <c r="DE134" t="s">
        <v>3</v>
      </c>
      <c r="DF134" t="s">
        <v>3</v>
      </c>
      <c r="DG134" t="s">
        <v>197</v>
      </c>
      <c r="DH134" t="s">
        <v>3</v>
      </c>
      <c r="DI134" t="s">
        <v>197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39</v>
      </c>
      <c r="DW134" t="s">
        <v>39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21</v>
      </c>
      <c r="EH134">
        <v>0</v>
      </c>
      <c r="EI134" t="s">
        <v>3</v>
      </c>
      <c r="EJ134">
        <v>4</v>
      </c>
      <c r="EK134">
        <v>0</v>
      </c>
      <c r="EL134" t="s">
        <v>22</v>
      </c>
      <c r="EM134" t="s">
        <v>23</v>
      </c>
      <c r="EO134" t="s">
        <v>198</v>
      </c>
      <c r="EQ134">
        <v>768</v>
      </c>
      <c r="ER134">
        <v>169.28</v>
      </c>
      <c r="ES134">
        <v>0.63</v>
      </c>
      <c r="ET134">
        <v>0</v>
      </c>
      <c r="EU134">
        <v>0</v>
      </c>
      <c r="EV134">
        <v>168.65</v>
      </c>
      <c r="EW134">
        <v>0.3</v>
      </c>
      <c r="EX134">
        <v>0</v>
      </c>
      <c r="EY134">
        <v>0</v>
      </c>
      <c r="FQ134">
        <v>0</v>
      </c>
      <c r="FR134">
        <f t="shared" si="141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192004803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42"/>
        <v>0</v>
      </c>
      <c r="GM134">
        <f t="shared" si="143"/>
        <v>18980.57</v>
      </c>
      <c r="GN134">
        <f t="shared" si="144"/>
        <v>0</v>
      </c>
      <c r="GO134">
        <f t="shared" si="145"/>
        <v>0</v>
      </c>
      <c r="GP134">
        <f t="shared" si="146"/>
        <v>18980.57</v>
      </c>
      <c r="GR134">
        <v>0</v>
      </c>
      <c r="GS134">
        <v>3</v>
      </c>
      <c r="GT134">
        <v>0</v>
      </c>
      <c r="GU134" t="s">
        <v>3</v>
      </c>
      <c r="GV134">
        <f t="shared" si="147"/>
        <v>0</v>
      </c>
      <c r="GW134">
        <v>1</v>
      </c>
      <c r="GX134">
        <f t="shared" si="148"/>
        <v>0</v>
      </c>
      <c r="HA134">
        <v>0</v>
      </c>
      <c r="HB134">
        <v>0</v>
      </c>
      <c r="HC134">
        <f t="shared" si="149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D135">
        <f>ROW(EtalonRes!A80)</f>
        <v>80</v>
      </c>
      <c r="E135" t="s">
        <v>203</v>
      </c>
      <c r="F135" t="s">
        <v>204</v>
      </c>
      <c r="G135" t="s">
        <v>205</v>
      </c>
      <c r="H135" t="s">
        <v>39</v>
      </c>
      <c r="I135">
        <f>ROUND(4*15,9)</f>
        <v>60</v>
      </c>
      <c r="J135">
        <v>0</v>
      </c>
      <c r="K135">
        <f>ROUND(4*15,9)</f>
        <v>60</v>
      </c>
      <c r="O135">
        <f t="shared" si="117"/>
        <v>14107.49</v>
      </c>
      <c r="P135">
        <f t="shared" si="118"/>
        <v>75.599999999999994</v>
      </c>
      <c r="Q135">
        <f t="shared" si="119"/>
        <v>0</v>
      </c>
      <c r="R135">
        <f t="shared" si="120"/>
        <v>0</v>
      </c>
      <c r="S135">
        <f t="shared" si="121"/>
        <v>14031.89</v>
      </c>
      <c r="T135">
        <f t="shared" si="122"/>
        <v>0</v>
      </c>
      <c r="U135">
        <f t="shared" si="123"/>
        <v>24.96</v>
      </c>
      <c r="V135">
        <f t="shared" si="124"/>
        <v>0</v>
      </c>
      <c r="W135">
        <f t="shared" si="125"/>
        <v>0</v>
      </c>
      <c r="X135">
        <f t="shared" si="126"/>
        <v>9822.32</v>
      </c>
      <c r="Y135">
        <f t="shared" si="127"/>
        <v>1403.19</v>
      </c>
      <c r="AA135">
        <v>1471531721</v>
      </c>
      <c r="AB135">
        <f t="shared" si="128"/>
        <v>235.12479999999999</v>
      </c>
      <c r="AC135">
        <f>ROUND((ES135),6)</f>
        <v>1.26</v>
      </c>
      <c r="AD135">
        <f>ROUND((((ET135)-(EU135))+AE135),6)</f>
        <v>0</v>
      </c>
      <c r="AE135">
        <f>ROUND((EU135),6)</f>
        <v>0</v>
      </c>
      <c r="AF135">
        <f>ROUND(((EV135*1.04)),6)</f>
        <v>233.8648</v>
      </c>
      <c r="AG135">
        <f t="shared" si="129"/>
        <v>0</v>
      </c>
      <c r="AH135">
        <f>((EW135*1.04))</f>
        <v>0.41600000000000004</v>
      </c>
      <c r="AI135">
        <f>(EX135)</f>
        <v>0</v>
      </c>
      <c r="AJ135">
        <f t="shared" si="130"/>
        <v>0</v>
      </c>
      <c r="AK135">
        <v>226.13</v>
      </c>
      <c r="AL135">
        <v>1.26</v>
      </c>
      <c r="AM135">
        <v>0</v>
      </c>
      <c r="AN135">
        <v>0</v>
      </c>
      <c r="AO135">
        <v>224.87</v>
      </c>
      <c r="AP135">
        <v>0</v>
      </c>
      <c r="AQ135">
        <v>0.4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206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196</v>
      </c>
      <c r="CO135">
        <v>0</v>
      </c>
      <c r="CP135">
        <f t="shared" si="131"/>
        <v>14107.49</v>
      </c>
      <c r="CQ135">
        <f t="shared" si="132"/>
        <v>1.26</v>
      </c>
      <c r="CR135">
        <f>((((ET135)*BB135-(EU135)*BS135)+AE135*BS135)*AV135)</f>
        <v>0</v>
      </c>
      <c r="CS135">
        <f t="shared" si="133"/>
        <v>0</v>
      </c>
      <c r="CT135">
        <f t="shared" si="134"/>
        <v>233.8648</v>
      </c>
      <c r="CU135">
        <f t="shared" si="135"/>
        <v>0</v>
      </c>
      <c r="CV135">
        <f t="shared" si="136"/>
        <v>0.41600000000000004</v>
      </c>
      <c r="CW135">
        <f t="shared" si="137"/>
        <v>0</v>
      </c>
      <c r="CX135">
        <f t="shared" si="138"/>
        <v>0</v>
      </c>
      <c r="CY135">
        <f t="shared" si="139"/>
        <v>9822.3229999999985</v>
      </c>
      <c r="CZ135">
        <f t="shared" si="140"/>
        <v>1403.1889999999999</v>
      </c>
      <c r="DC135" t="s">
        <v>3</v>
      </c>
      <c r="DD135" t="s">
        <v>3</v>
      </c>
      <c r="DE135" t="s">
        <v>3</v>
      </c>
      <c r="DF135" t="s">
        <v>3</v>
      </c>
      <c r="DG135" t="s">
        <v>197</v>
      </c>
      <c r="DH135" t="s">
        <v>3</v>
      </c>
      <c r="DI135" t="s">
        <v>197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16987630</v>
      </c>
      <c r="DV135" t="s">
        <v>39</v>
      </c>
      <c r="DW135" t="s">
        <v>39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21</v>
      </c>
      <c r="EH135">
        <v>0</v>
      </c>
      <c r="EI135" t="s">
        <v>3</v>
      </c>
      <c r="EJ135">
        <v>4</v>
      </c>
      <c r="EK135">
        <v>0</v>
      </c>
      <c r="EL135" t="s">
        <v>22</v>
      </c>
      <c r="EM135" t="s">
        <v>23</v>
      </c>
      <c r="EO135" t="s">
        <v>198</v>
      </c>
      <c r="EQ135">
        <v>768</v>
      </c>
      <c r="ER135">
        <v>226.13</v>
      </c>
      <c r="ES135">
        <v>1.26</v>
      </c>
      <c r="ET135">
        <v>0</v>
      </c>
      <c r="EU135">
        <v>0</v>
      </c>
      <c r="EV135">
        <v>224.87</v>
      </c>
      <c r="EW135">
        <v>0.4</v>
      </c>
      <c r="EX135">
        <v>0</v>
      </c>
      <c r="EY135">
        <v>0</v>
      </c>
      <c r="FQ135">
        <v>0</v>
      </c>
      <c r="FR135">
        <f t="shared" si="141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-1193417237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142"/>
        <v>0</v>
      </c>
      <c r="GM135">
        <f t="shared" si="143"/>
        <v>25333</v>
      </c>
      <c r="GN135">
        <f t="shared" si="144"/>
        <v>0</v>
      </c>
      <c r="GO135">
        <f t="shared" si="145"/>
        <v>0</v>
      </c>
      <c r="GP135">
        <f t="shared" si="146"/>
        <v>25333</v>
      </c>
      <c r="GR135">
        <v>0</v>
      </c>
      <c r="GS135">
        <v>3</v>
      </c>
      <c r="GT135">
        <v>0</v>
      </c>
      <c r="GU135" t="s">
        <v>3</v>
      </c>
      <c r="GV135">
        <f t="shared" si="147"/>
        <v>0</v>
      </c>
      <c r="GW135">
        <v>1</v>
      </c>
      <c r="GX135">
        <f t="shared" si="148"/>
        <v>0</v>
      </c>
      <c r="HA135">
        <v>0</v>
      </c>
      <c r="HB135">
        <v>0</v>
      </c>
      <c r="HC135">
        <f t="shared" si="149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D136">
        <f>ROW(EtalonRes!A82)</f>
        <v>82</v>
      </c>
      <c r="E136" t="s">
        <v>207</v>
      </c>
      <c r="F136" t="s">
        <v>208</v>
      </c>
      <c r="G136" t="s">
        <v>209</v>
      </c>
      <c r="H136" t="s">
        <v>39</v>
      </c>
      <c r="I136">
        <f>ROUND(15,9)</f>
        <v>15</v>
      </c>
      <c r="J136">
        <v>0</v>
      </c>
      <c r="K136">
        <f>ROUND(15,9)</f>
        <v>15</v>
      </c>
      <c r="O136">
        <f t="shared" si="117"/>
        <v>8845.2000000000007</v>
      </c>
      <c r="P136">
        <f t="shared" si="118"/>
        <v>75.599999999999994</v>
      </c>
      <c r="Q136">
        <f t="shared" si="119"/>
        <v>0</v>
      </c>
      <c r="R136">
        <f t="shared" si="120"/>
        <v>0</v>
      </c>
      <c r="S136">
        <f t="shared" si="121"/>
        <v>8769.6</v>
      </c>
      <c r="T136">
        <f t="shared" si="122"/>
        <v>0</v>
      </c>
      <c r="U136">
        <f t="shared" si="123"/>
        <v>15.600000000000001</v>
      </c>
      <c r="V136">
        <f t="shared" si="124"/>
        <v>0</v>
      </c>
      <c r="W136">
        <f t="shared" si="125"/>
        <v>0</v>
      </c>
      <c r="X136">
        <f t="shared" si="126"/>
        <v>6138.72</v>
      </c>
      <c r="Y136">
        <f t="shared" si="127"/>
        <v>876.96</v>
      </c>
      <c r="AA136">
        <v>1471531721</v>
      </c>
      <c r="AB136">
        <f t="shared" si="128"/>
        <v>589.67999999999995</v>
      </c>
      <c r="AC136">
        <f>ROUND(((ES136*4)),6)</f>
        <v>5.04</v>
      </c>
      <c r="AD136">
        <f>ROUND(((((ET136*4))-((EU136*4)))+AE136),6)</f>
        <v>0</v>
      </c>
      <c r="AE136">
        <f>ROUND(((EU136*4)),6)</f>
        <v>0</v>
      </c>
      <c r="AF136">
        <f>ROUND(((EV136*4)),6)</f>
        <v>584.64</v>
      </c>
      <c r="AG136">
        <f t="shared" si="129"/>
        <v>0</v>
      </c>
      <c r="AH136">
        <f>((EW136*4))</f>
        <v>1.04</v>
      </c>
      <c r="AI136">
        <f>((EX136*4))</f>
        <v>0</v>
      </c>
      <c r="AJ136">
        <f t="shared" si="130"/>
        <v>0</v>
      </c>
      <c r="AK136">
        <v>147.41999999999999</v>
      </c>
      <c r="AL136">
        <v>1.26</v>
      </c>
      <c r="AM136">
        <v>0</v>
      </c>
      <c r="AN136">
        <v>0</v>
      </c>
      <c r="AO136">
        <v>146.16</v>
      </c>
      <c r="AP136">
        <v>0</v>
      </c>
      <c r="AQ136">
        <v>0.26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210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1"/>
        <v>8845.2000000000007</v>
      </c>
      <c r="CQ136">
        <f t="shared" si="132"/>
        <v>5.04</v>
      </c>
      <c r="CR136">
        <f>(((((ET136*4))*BB136-((EU136*4))*BS136)+AE136*BS136)*AV136)</f>
        <v>0</v>
      </c>
      <c r="CS136">
        <f t="shared" si="133"/>
        <v>0</v>
      </c>
      <c r="CT136">
        <f t="shared" si="134"/>
        <v>584.64</v>
      </c>
      <c r="CU136">
        <f t="shared" si="135"/>
        <v>0</v>
      </c>
      <c r="CV136">
        <f t="shared" si="136"/>
        <v>1.04</v>
      </c>
      <c r="CW136">
        <f t="shared" si="137"/>
        <v>0</v>
      </c>
      <c r="CX136">
        <f t="shared" si="138"/>
        <v>0</v>
      </c>
      <c r="CY136">
        <f t="shared" si="139"/>
        <v>6138.72</v>
      </c>
      <c r="CZ136">
        <f t="shared" si="140"/>
        <v>876.96</v>
      </c>
      <c r="DC136" t="s">
        <v>3</v>
      </c>
      <c r="DD136" t="s">
        <v>57</v>
      </c>
      <c r="DE136" t="s">
        <v>57</v>
      </c>
      <c r="DF136" t="s">
        <v>57</v>
      </c>
      <c r="DG136" t="s">
        <v>57</v>
      </c>
      <c r="DH136" t="s">
        <v>3</v>
      </c>
      <c r="DI136" t="s">
        <v>57</v>
      </c>
      <c r="DJ136" t="s">
        <v>57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16987630</v>
      </c>
      <c r="DV136" t="s">
        <v>39</v>
      </c>
      <c r="DW136" t="s">
        <v>39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21</v>
      </c>
      <c r="EH136">
        <v>0</v>
      </c>
      <c r="EI136" t="s">
        <v>3</v>
      </c>
      <c r="EJ136">
        <v>4</v>
      </c>
      <c r="EK136">
        <v>0</v>
      </c>
      <c r="EL136" t="s">
        <v>22</v>
      </c>
      <c r="EM136" t="s">
        <v>23</v>
      </c>
      <c r="EO136" t="s">
        <v>3</v>
      </c>
      <c r="EQ136">
        <v>0</v>
      </c>
      <c r="ER136">
        <v>147.41999999999999</v>
      </c>
      <c r="ES136">
        <v>1.26</v>
      </c>
      <c r="ET136">
        <v>0</v>
      </c>
      <c r="EU136">
        <v>0</v>
      </c>
      <c r="EV136">
        <v>146.16</v>
      </c>
      <c r="EW136">
        <v>0.26</v>
      </c>
      <c r="EX136">
        <v>0</v>
      </c>
      <c r="EY136">
        <v>0</v>
      </c>
      <c r="FQ136">
        <v>0</v>
      </c>
      <c r="FR136">
        <f t="shared" si="141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1674503205</v>
      </c>
      <c r="GG136">
        <v>2</v>
      </c>
      <c r="GH136">
        <v>1</v>
      </c>
      <c r="GI136">
        <v>-2</v>
      </c>
      <c r="GJ136">
        <v>0</v>
      </c>
      <c r="GK136">
        <f>ROUND(R136*(R12)/100,2)</f>
        <v>0</v>
      </c>
      <c r="GL136">
        <f t="shared" si="142"/>
        <v>0</v>
      </c>
      <c r="GM136">
        <f t="shared" si="143"/>
        <v>15860.88</v>
      </c>
      <c r="GN136">
        <f t="shared" si="144"/>
        <v>0</v>
      </c>
      <c r="GO136">
        <f t="shared" si="145"/>
        <v>0</v>
      </c>
      <c r="GP136">
        <f t="shared" si="146"/>
        <v>15860.88</v>
      </c>
      <c r="GR136">
        <v>0</v>
      </c>
      <c r="GS136">
        <v>3</v>
      </c>
      <c r="GT136">
        <v>0</v>
      </c>
      <c r="GU136" t="s">
        <v>3</v>
      </c>
      <c r="GV136">
        <f t="shared" si="147"/>
        <v>0</v>
      </c>
      <c r="GW136">
        <v>1</v>
      </c>
      <c r="GX136">
        <f t="shared" si="148"/>
        <v>0</v>
      </c>
      <c r="HA136">
        <v>0</v>
      </c>
      <c r="HB136">
        <v>0</v>
      </c>
      <c r="HC136">
        <f t="shared" si="149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D137">
        <f>ROW(EtalonRes!A83)</f>
        <v>83</v>
      </c>
      <c r="E137" t="s">
        <v>211</v>
      </c>
      <c r="F137" t="s">
        <v>212</v>
      </c>
      <c r="G137" t="s">
        <v>213</v>
      </c>
      <c r="H137" t="s">
        <v>39</v>
      </c>
      <c r="I137">
        <f>ROUND(4*15,9)</f>
        <v>60</v>
      </c>
      <c r="J137">
        <v>0</v>
      </c>
      <c r="K137">
        <f>ROUND(4*15,9)</f>
        <v>60</v>
      </c>
      <c r="O137">
        <f t="shared" si="117"/>
        <v>72988.800000000003</v>
      </c>
      <c r="P137">
        <f t="shared" si="118"/>
        <v>0</v>
      </c>
      <c r="Q137">
        <f t="shared" si="119"/>
        <v>0</v>
      </c>
      <c r="R137">
        <f t="shared" si="120"/>
        <v>0</v>
      </c>
      <c r="S137">
        <f t="shared" si="121"/>
        <v>72988.800000000003</v>
      </c>
      <c r="T137">
        <f t="shared" si="122"/>
        <v>0</v>
      </c>
      <c r="U137">
        <f t="shared" si="123"/>
        <v>120</v>
      </c>
      <c r="V137">
        <f t="shared" si="124"/>
        <v>0</v>
      </c>
      <c r="W137">
        <f t="shared" si="125"/>
        <v>0</v>
      </c>
      <c r="X137">
        <f t="shared" si="126"/>
        <v>51092.160000000003</v>
      </c>
      <c r="Y137">
        <f t="shared" si="127"/>
        <v>7298.88</v>
      </c>
      <c r="AA137">
        <v>1471531721</v>
      </c>
      <c r="AB137">
        <f t="shared" si="128"/>
        <v>1216.48</v>
      </c>
      <c r="AC137">
        <f>ROUND(((ES137*4)),6)</f>
        <v>0</v>
      </c>
      <c r="AD137">
        <f>ROUND(((((ET137*4))-((EU137*4)))+AE137),6)</f>
        <v>0</v>
      </c>
      <c r="AE137">
        <f>ROUND(((EU137*4)),6)</f>
        <v>0</v>
      </c>
      <c r="AF137">
        <f>ROUND(((EV137*4)),6)</f>
        <v>1216.48</v>
      </c>
      <c r="AG137">
        <f t="shared" si="129"/>
        <v>0</v>
      </c>
      <c r="AH137">
        <f>((EW137*4))</f>
        <v>2</v>
      </c>
      <c r="AI137">
        <f>((EX137*4))</f>
        <v>0</v>
      </c>
      <c r="AJ137">
        <f t="shared" si="130"/>
        <v>0</v>
      </c>
      <c r="AK137">
        <v>304.12</v>
      </c>
      <c r="AL137">
        <v>0</v>
      </c>
      <c r="AM137">
        <v>0</v>
      </c>
      <c r="AN137">
        <v>0</v>
      </c>
      <c r="AO137">
        <v>304.12</v>
      </c>
      <c r="AP137">
        <v>0</v>
      </c>
      <c r="AQ137">
        <v>0.5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214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1"/>
        <v>72988.800000000003</v>
      </c>
      <c r="CQ137">
        <f t="shared" si="132"/>
        <v>0</v>
      </c>
      <c r="CR137">
        <f>(((((ET137*4))*BB137-((EU137*4))*BS137)+AE137*BS137)*AV137)</f>
        <v>0</v>
      </c>
      <c r="CS137">
        <f t="shared" si="133"/>
        <v>0</v>
      </c>
      <c r="CT137">
        <f t="shared" si="134"/>
        <v>1216.48</v>
      </c>
      <c r="CU137">
        <f t="shared" si="135"/>
        <v>0</v>
      </c>
      <c r="CV137">
        <f t="shared" si="136"/>
        <v>2</v>
      </c>
      <c r="CW137">
        <f t="shared" si="137"/>
        <v>0</v>
      </c>
      <c r="CX137">
        <f t="shared" si="138"/>
        <v>0</v>
      </c>
      <c r="CY137">
        <f t="shared" si="139"/>
        <v>51092.160000000003</v>
      </c>
      <c r="CZ137">
        <f t="shared" si="140"/>
        <v>7298.88</v>
      </c>
      <c r="DC137" t="s">
        <v>3</v>
      </c>
      <c r="DD137" t="s">
        <v>57</v>
      </c>
      <c r="DE137" t="s">
        <v>57</v>
      </c>
      <c r="DF137" t="s">
        <v>57</v>
      </c>
      <c r="DG137" t="s">
        <v>57</v>
      </c>
      <c r="DH137" t="s">
        <v>3</v>
      </c>
      <c r="DI137" t="s">
        <v>57</v>
      </c>
      <c r="DJ137" t="s">
        <v>57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39</v>
      </c>
      <c r="DW137" t="s">
        <v>39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21</v>
      </c>
      <c r="EH137">
        <v>0</v>
      </c>
      <c r="EI137" t="s">
        <v>3</v>
      </c>
      <c r="EJ137">
        <v>4</v>
      </c>
      <c r="EK137">
        <v>0</v>
      </c>
      <c r="EL137" t="s">
        <v>22</v>
      </c>
      <c r="EM137" t="s">
        <v>23</v>
      </c>
      <c r="EO137" t="s">
        <v>3</v>
      </c>
      <c r="EQ137">
        <v>0</v>
      </c>
      <c r="ER137">
        <v>304.12</v>
      </c>
      <c r="ES137">
        <v>0</v>
      </c>
      <c r="ET137">
        <v>0</v>
      </c>
      <c r="EU137">
        <v>0</v>
      </c>
      <c r="EV137">
        <v>304.12</v>
      </c>
      <c r="EW137">
        <v>0.5</v>
      </c>
      <c r="EX137">
        <v>0</v>
      </c>
      <c r="EY137">
        <v>0</v>
      </c>
      <c r="FQ137">
        <v>0</v>
      </c>
      <c r="FR137">
        <f t="shared" si="141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-964383457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42"/>
        <v>0</v>
      </c>
      <c r="GM137">
        <f t="shared" si="143"/>
        <v>131379.84</v>
      </c>
      <c r="GN137">
        <f t="shared" si="144"/>
        <v>0</v>
      </c>
      <c r="GO137">
        <f t="shared" si="145"/>
        <v>0</v>
      </c>
      <c r="GP137">
        <f t="shared" si="146"/>
        <v>131379.84</v>
      </c>
      <c r="GR137">
        <v>0</v>
      </c>
      <c r="GS137">
        <v>3</v>
      </c>
      <c r="GT137">
        <v>0</v>
      </c>
      <c r="GU137" t="s">
        <v>3</v>
      </c>
      <c r="GV137">
        <f t="shared" si="147"/>
        <v>0</v>
      </c>
      <c r="GW137">
        <v>1</v>
      </c>
      <c r="GX137">
        <f t="shared" si="148"/>
        <v>0</v>
      </c>
      <c r="HA137">
        <v>0</v>
      </c>
      <c r="HB137">
        <v>0</v>
      </c>
      <c r="HC137">
        <f t="shared" si="149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D138">
        <f>ROW(EtalonRes!A84)</f>
        <v>84</v>
      </c>
      <c r="E138" t="s">
        <v>3</v>
      </c>
      <c r="F138" t="s">
        <v>215</v>
      </c>
      <c r="G138" t="s">
        <v>216</v>
      </c>
      <c r="H138" t="s">
        <v>39</v>
      </c>
      <c r="I138">
        <f>ROUND(4*15,9)</f>
        <v>60</v>
      </c>
      <c r="J138">
        <v>0</v>
      </c>
      <c r="K138">
        <f>ROUND(4*15,9)</f>
        <v>60</v>
      </c>
      <c r="O138">
        <f t="shared" si="117"/>
        <v>64231.8</v>
      </c>
      <c r="P138">
        <f t="shared" si="118"/>
        <v>0</v>
      </c>
      <c r="Q138">
        <f t="shared" si="119"/>
        <v>0</v>
      </c>
      <c r="R138">
        <f t="shared" si="120"/>
        <v>0</v>
      </c>
      <c r="S138">
        <f t="shared" si="121"/>
        <v>64231.8</v>
      </c>
      <c r="T138">
        <f t="shared" si="122"/>
        <v>0</v>
      </c>
      <c r="U138">
        <f t="shared" si="123"/>
        <v>105.6</v>
      </c>
      <c r="V138">
        <f t="shared" si="124"/>
        <v>0</v>
      </c>
      <c r="W138">
        <f t="shared" si="125"/>
        <v>0</v>
      </c>
      <c r="X138">
        <f t="shared" si="126"/>
        <v>44962.26</v>
      </c>
      <c r="Y138">
        <f t="shared" si="127"/>
        <v>6423.18</v>
      </c>
      <c r="AA138">
        <v>-1</v>
      </c>
      <c r="AB138">
        <f t="shared" si="128"/>
        <v>1070.53</v>
      </c>
      <c r="AC138">
        <f>ROUND((ES138),6)</f>
        <v>0</v>
      </c>
      <c r="AD138">
        <f>ROUND((((ET138)-(EU138))+AE138),6)</f>
        <v>0</v>
      </c>
      <c r="AE138">
        <f>ROUND((EU138),6)</f>
        <v>0</v>
      </c>
      <c r="AF138">
        <f>ROUND((EV138),6)</f>
        <v>1070.53</v>
      </c>
      <c r="AG138">
        <f t="shared" si="129"/>
        <v>0</v>
      </c>
      <c r="AH138">
        <f>(EW138)</f>
        <v>1.76</v>
      </c>
      <c r="AI138">
        <f>(EX138)</f>
        <v>0</v>
      </c>
      <c r="AJ138">
        <f t="shared" si="130"/>
        <v>0</v>
      </c>
      <c r="AK138">
        <v>1070.53</v>
      </c>
      <c r="AL138">
        <v>0</v>
      </c>
      <c r="AM138">
        <v>0</v>
      </c>
      <c r="AN138">
        <v>0</v>
      </c>
      <c r="AO138">
        <v>1070.53</v>
      </c>
      <c r="AP138">
        <v>0</v>
      </c>
      <c r="AQ138">
        <v>1.76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217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1"/>
        <v>64231.8</v>
      </c>
      <c r="CQ138">
        <f t="shared" si="132"/>
        <v>0</v>
      </c>
      <c r="CR138">
        <f>((((ET138)*BB138-(EU138)*BS138)+AE138*BS138)*AV138)</f>
        <v>0</v>
      </c>
      <c r="CS138">
        <f t="shared" si="133"/>
        <v>0</v>
      </c>
      <c r="CT138">
        <f t="shared" si="134"/>
        <v>1070.53</v>
      </c>
      <c r="CU138">
        <f t="shared" si="135"/>
        <v>0</v>
      </c>
      <c r="CV138">
        <f t="shared" si="136"/>
        <v>1.76</v>
      </c>
      <c r="CW138">
        <f t="shared" si="137"/>
        <v>0</v>
      </c>
      <c r="CX138">
        <f t="shared" si="138"/>
        <v>0</v>
      </c>
      <c r="CY138">
        <f t="shared" si="139"/>
        <v>44962.26</v>
      </c>
      <c r="CZ138">
        <f t="shared" si="140"/>
        <v>6423.18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16987630</v>
      </c>
      <c r="DV138" t="s">
        <v>39</v>
      </c>
      <c r="DW138" t="s">
        <v>39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21</v>
      </c>
      <c r="EH138">
        <v>0</v>
      </c>
      <c r="EI138" t="s">
        <v>3</v>
      </c>
      <c r="EJ138">
        <v>4</v>
      </c>
      <c r="EK138">
        <v>0</v>
      </c>
      <c r="EL138" t="s">
        <v>22</v>
      </c>
      <c r="EM138" t="s">
        <v>23</v>
      </c>
      <c r="EO138" t="s">
        <v>3</v>
      </c>
      <c r="EQ138">
        <v>1311744</v>
      </c>
      <c r="ER138">
        <v>1070.53</v>
      </c>
      <c r="ES138">
        <v>0</v>
      </c>
      <c r="ET138">
        <v>0</v>
      </c>
      <c r="EU138">
        <v>0</v>
      </c>
      <c r="EV138">
        <v>1070.53</v>
      </c>
      <c r="EW138">
        <v>1.76</v>
      </c>
      <c r="EX138">
        <v>0</v>
      </c>
      <c r="EY138">
        <v>0</v>
      </c>
      <c r="FQ138">
        <v>0</v>
      </c>
      <c r="FR138">
        <f t="shared" si="141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-1392204801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42"/>
        <v>0</v>
      </c>
      <c r="GM138">
        <f t="shared" si="143"/>
        <v>115617.24</v>
      </c>
      <c r="GN138">
        <f t="shared" si="144"/>
        <v>0</v>
      </c>
      <c r="GO138">
        <f t="shared" si="145"/>
        <v>0</v>
      </c>
      <c r="GP138">
        <f t="shared" si="146"/>
        <v>115617.24</v>
      </c>
      <c r="GR138">
        <v>0</v>
      </c>
      <c r="GS138">
        <v>3</v>
      </c>
      <c r="GT138">
        <v>0</v>
      </c>
      <c r="GU138" t="s">
        <v>3</v>
      </c>
      <c r="GV138">
        <f t="shared" si="147"/>
        <v>0</v>
      </c>
      <c r="GW138">
        <v>1</v>
      </c>
      <c r="GX138">
        <f t="shared" si="148"/>
        <v>0</v>
      </c>
      <c r="HA138">
        <v>0</v>
      </c>
      <c r="HB138">
        <v>0</v>
      </c>
      <c r="HC138">
        <f t="shared" si="149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ROW(EtalonRes!A87)</f>
        <v>87</v>
      </c>
      <c r="E139" t="s">
        <v>3</v>
      </c>
      <c r="F139" t="s">
        <v>218</v>
      </c>
      <c r="G139" t="s">
        <v>219</v>
      </c>
      <c r="H139" t="s">
        <v>39</v>
      </c>
      <c r="I139">
        <f>ROUND(4*15,9)</f>
        <v>60</v>
      </c>
      <c r="J139">
        <v>0</v>
      </c>
      <c r="K139">
        <f>ROUND(4*15,9)</f>
        <v>60</v>
      </c>
      <c r="O139">
        <f t="shared" si="117"/>
        <v>123673.2</v>
      </c>
      <c r="P139">
        <f t="shared" si="118"/>
        <v>318.60000000000002</v>
      </c>
      <c r="Q139">
        <f t="shared" si="119"/>
        <v>0</v>
      </c>
      <c r="R139">
        <f t="shared" si="120"/>
        <v>0</v>
      </c>
      <c r="S139">
        <f t="shared" si="121"/>
        <v>123354.6</v>
      </c>
      <c r="T139">
        <f t="shared" si="122"/>
        <v>0</v>
      </c>
      <c r="U139">
        <f t="shared" si="123"/>
        <v>202.79999999999998</v>
      </c>
      <c r="V139">
        <f t="shared" si="124"/>
        <v>0</v>
      </c>
      <c r="W139">
        <f t="shared" si="125"/>
        <v>0</v>
      </c>
      <c r="X139">
        <f t="shared" si="126"/>
        <v>86348.22</v>
      </c>
      <c r="Y139">
        <f t="shared" si="127"/>
        <v>12335.46</v>
      </c>
      <c r="AA139">
        <v>-1</v>
      </c>
      <c r="AB139">
        <f t="shared" si="128"/>
        <v>2061.2199999999998</v>
      </c>
      <c r="AC139">
        <f>ROUND((ES139),6)</f>
        <v>5.31</v>
      </c>
      <c r="AD139">
        <f>ROUND((((ET139)-(EU139))+AE139),6)</f>
        <v>0</v>
      </c>
      <c r="AE139">
        <f>ROUND((EU139),6)</f>
        <v>0</v>
      </c>
      <c r="AF139">
        <f>ROUND((EV139),6)</f>
        <v>2055.91</v>
      </c>
      <c r="AG139">
        <f t="shared" si="129"/>
        <v>0</v>
      </c>
      <c r="AH139">
        <f>(EW139)</f>
        <v>3.38</v>
      </c>
      <c r="AI139">
        <f>(EX139)</f>
        <v>0</v>
      </c>
      <c r="AJ139">
        <f t="shared" si="130"/>
        <v>0</v>
      </c>
      <c r="AK139">
        <v>2061.2199999999998</v>
      </c>
      <c r="AL139">
        <v>5.31</v>
      </c>
      <c r="AM139">
        <v>0</v>
      </c>
      <c r="AN139">
        <v>0</v>
      </c>
      <c r="AO139">
        <v>2055.91</v>
      </c>
      <c r="AP139">
        <v>0</v>
      </c>
      <c r="AQ139">
        <v>3.38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220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1"/>
        <v>123673.20000000001</v>
      </c>
      <c r="CQ139">
        <f t="shared" si="132"/>
        <v>5.31</v>
      </c>
      <c r="CR139">
        <f>((((ET139)*BB139-(EU139)*BS139)+AE139*BS139)*AV139)</f>
        <v>0</v>
      </c>
      <c r="CS139">
        <f t="shared" si="133"/>
        <v>0</v>
      </c>
      <c r="CT139">
        <f t="shared" si="134"/>
        <v>2055.91</v>
      </c>
      <c r="CU139">
        <f t="shared" si="135"/>
        <v>0</v>
      </c>
      <c r="CV139">
        <f t="shared" si="136"/>
        <v>3.38</v>
      </c>
      <c r="CW139">
        <f t="shared" si="137"/>
        <v>0</v>
      </c>
      <c r="CX139">
        <f t="shared" si="138"/>
        <v>0</v>
      </c>
      <c r="CY139">
        <f t="shared" si="139"/>
        <v>86348.22</v>
      </c>
      <c r="CZ139">
        <f t="shared" si="140"/>
        <v>12335.46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16987630</v>
      </c>
      <c r="DV139" t="s">
        <v>39</v>
      </c>
      <c r="DW139" t="s">
        <v>39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21</v>
      </c>
      <c r="EH139">
        <v>0</v>
      </c>
      <c r="EI139" t="s">
        <v>3</v>
      </c>
      <c r="EJ139">
        <v>4</v>
      </c>
      <c r="EK139">
        <v>0</v>
      </c>
      <c r="EL139" t="s">
        <v>22</v>
      </c>
      <c r="EM139" t="s">
        <v>23</v>
      </c>
      <c r="EO139" t="s">
        <v>3</v>
      </c>
      <c r="EQ139">
        <v>1311744</v>
      </c>
      <c r="ER139">
        <v>2061.2199999999998</v>
      </c>
      <c r="ES139">
        <v>5.31</v>
      </c>
      <c r="ET139">
        <v>0</v>
      </c>
      <c r="EU139">
        <v>0</v>
      </c>
      <c r="EV139">
        <v>2055.91</v>
      </c>
      <c r="EW139">
        <v>3.38</v>
      </c>
      <c r="EX139">
        <v>0</v>
      </c>
      <c r="EY139">
        <v>0</v>
      </c>
      <c r="FQ139">
        <v>0</v>
      </c>
      <c r="FR139">
        <f t="shared" si="141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734292325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42"/>
        <v>0</v>
      </c>
      <c r="GM139">
        <f t="shared" si="143"/>
        <v>222356.88</v>
      </c>
      <c r="GN139">
        <f t="shared" si="144"/>
        <v>0</v>
      </c>
      <c r="GO139">
        <f t="shared" si="145"/>
        <v>0</v>
      </c>
      <c r="GP139">
        <f t="shared" si="146"/>
        <v>222356.88</v>
      </c>
      <c r="GR139">
        <v>0</v>
      </c>
      <c r="GS139">
        <v>3</v>
      </c>
      <c r="GT139">
        <v>0</v>
      </c>
      <c r="GU139" t="s">
        <v>3</v>
      </c>
      <c r="GV139">
        <f t="shared" si="147"/>
        <v>0</v>
      </c>
      <c r="GW139">
        <v>1</v>
      </c>
      <c r="GX139">
        <f t="shared" si="148"/>
        <v>0</v>
      </c>
      <c r="HA139">
        <v>0</v>
      </c>
      <c r="HB139">
        <v>0</v>
      </c>
      <c r="HC139">
        <f t="shared" si="149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ROW(EtalonRes!A90)</f>
        <v>90</v>
      </c>
      <c r="E140" t="s">
        <v>221</v>
      </c>
      <c r="F140" t="s">
        <v>222</v>
      </c>
      <c r="G140" t="s">
        <v>223</v>
      </c>
      <c r="H140" t="s">
        <v>31</v>
      </c>
      <c r="I140">
        <f>ROUND((4*15)/100,9)</f>
        <v>0.6</v>
      </c>
      <c r="J140">
        <v>0</v>
      </c>
      <c r="K140">
        <f>ROUND((4*15)/100,9)</f>
        <v>0.6</v>
      </c>
      <c r="O140">
        <f t="shared" si="117"/>
        <v>9899.86</v>
      </c>
      <c r="P140">
        <f t="shared" si="118"/>
        <v>2.2599999999999998</v>
      </c>
      <c r="Q140">
        <f t="shared" si="119"/>
        <v>2189.06</v>
      </c>
      <c r="R140">
        <f t="shared" si="120"/>
        <v>1388.02</v>
      </c>
      <c r="S140">
        <f t="shared" si="121"/>
        <v>7708.54</v>
      </c>
      <c r="T140">
        <f t="shared" si="122"/>
        <v>0</v>
      </c>
      <c r="U140">
        <f t="shared" si="123"/>
        <v>14.399999999999999</v>
      </c>
      <c r="V140">
        <f t="shared" si="124"/>
        <v>0</v>
      </c>
      <c r="W140">
        <f t="shared" si="125"/>
        <v>0</v>
      </c>
      <c r="X140">
        <f t="shared" si="126"/>
        <v>5395.98</v>
      </c>
      <c r="Y140">
        <f t="shared" si="127"/>
        <v>770.85</v>
      </c>
      <c r="AA140">
        <v>1471531721</v>
      </c>
      <c r="AB140">
        <f t="shared" si="128"/>
        <v>16499.759999999998</v>
      </c>
      <c r="AC140">
        <f>ROUND(((ES140*4)),6)</f>
        <v>3.76</v>
      </c>
      <c r="AD140">
        <f>ROUND(((((ET140*4))-((EU140*4)))+AE140),6)</f>
        <v>3648.44</v>
      </c>
      <c r="AE140">
        <f>ROUND(((EU140*4)),6)</f>
        <v>2313.36</v>
      </c>
      <c r="AF140">
        <f>ROUND(((EV140*4)),6)</f>
        <v>12847.56</v>
      </c>
      <c r="AG140">
        <f t="shared" si="129"/>
        <v>0</v>
      </c>
      <c r="AH140">
        <f>((EW140*4))</f>
        <v>24</v>
      </c>
      <c r="AI140">
        <f>((EX140*4))</f>
        <v>0</v>
      </c>
      <c r="AJ140">
        <f t="shared" si="130"/>
        <v>0</v>
      </c>
      <c r="AK140">
        <v>4124.9399999999996</v>
      </c>
      <c r="AL140">
        <v>0.94</v>
      </c>
      <c r="AM140">
        <v>912.11</v>
      </c>
      <c r="AN140">
        <v>578.34</v>
      </c>
      <c r="AO140">
        <v>3211.89</v>
      </c>
      <c r="AP140">
        <v>0</v>
      </c>
      <c r="AQ140">
        <v>6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224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31"/>
        <v>9899.86</v>
      </c>
      <c r="CQ140">
        <f t="shared" si="132"/>
        <v>3.76</v>
      </c>
      <c r="CR140">
        <f>(((((ET140*4))*BB140-((EU140*4))*BS140)+AE140*BS140)*AV140)</f>
        <v>3648.44</v>
      </c>
      <c r="CS140">
        <f t="shared" si="133"/>
        <v>2313.36</v>
      </c>
      <c r="CT140">
        <f t="shared" si="134"/>
        <v>12847.56</v>
      </c>
      <c r="CU140">
        <f t="shared" si="135"/>
        <v>0</v>
      </c>
      <c r="CV140">
        <f t="shared" si="136"/>
        <v>24</v>
      </c>
      <c r="CW140">
        <f t="shared" si="137"/>
        <v>0</v>
      </c>
      <c r="CX140">
        <f t="shared" si="138"/>
        <v>0</v>
      </c>
      <c r="CY140">
        <f t="shared" si="139"/>
        <v>5395.9780000000001</v>
      </c>
      <c r="CZ140">
        <f t="shared" si="140"/>
        <v>770.85399999999993</v>
      </c>
      <c r="DC140" t="s">
        <v>3</v>
      </c>
      <c r="DD140" t="s">
        <v>57</v>
      </c>
      <c r="DE140" t="s">
        <v>57</v>
      </c>
      <c r="DF140" t="s">
        <v>57</v>
      </c>
      <c r="DG140" t="s">
        <v>57</v>
      </c>
      <c r="DH140" t="s">
        <v>3</v>
      </c>
      <c r="DI140" t="s">
        <v>57</v>
      </c>
      <c r="DJ140" t="s">
        <v>57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31</v>
      </c>
      <c r="DW140" t="s">
        <v>31</v>
      </c>
      <c r="DX140">
        <v>100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21</v>
      </c>
      <c r="EH140">
        <v>0</v>
      </c>
      <c r="EI140" t="s">
        <v>3</v>
      </c>
      <c r="EJ140">
        <v>4</v>
      </c>
      <c r="EK140">
        <v>0</v>
      </c>
      <c r="EL140" t="s">
        <v>22</v>
      </c>
      <c r="EM140" t="s">
        <v>23</v>
      </c>
      <c r="EO140" t="s">
        <v>3</v>
      </c>
      <c r="EQ140">
        <v>0</v>
      </c>
      <c r="ER140">
        <v>4124.9399999999996</v>
      </c>
      <c r="ES140">
        <v>0.94</v>
      </c>
      <c r="ET140">
        <v>912.11</v>
      </c>
      <c r="EU140">
        <v>578.34</v>
      </c>
      <c r="EV140">
        <v>3211.89</v>
      </c>
      <c r="EW140">
        <v>6</v>
      </c>
      <c r="EX140">
        <v>0</v>
      </c>
      <c r="EY140">
        <v>0</v>
      </c>
      <c r="FQ140">
        <v>0</v>
      </c>
      <c r="FR140">
        <f t="shared" si="141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-121747724</v>
      </c>
      <c r="GG140">
        <v>2</v>
      </c>
      <c r="GH140">
        <v>1</v>
      </c>
      <c r="GI140">
        <v>-2</v>
      </c>
      <c r="GJ140">
        <v>0</v>
      </c>
      <c r="GK140">
        <f>ROUND(R140*(R12)/100,2)</f>
        <v>1499.06</v>
      </c>
      <c r="GL140">
        <f t="shared" si="142"/>
        <v>0</v>
      </c>
      <c r="GM140">
        <f t="shared" si="143"/>
        <v>17565.75</v>
      </c>
      <c r="GN140">
        <f t="shared" si="144"/>
        <v>0</v>
      </c>
      <c r="GO140">
        <f t="shared" si="145"/>
        <v>0</v>
      </c>
      <c r="GP140">
        <f t="shared" si="146"/>
        <v>17565.75</v>
      </c>
      <c r="GR140">
        <v>0</v>
      </c>
      <c r="GS140">
        <v>3</v>
      </c>
      <c r="GT140">
        <v>0</v>
      </c>
      <c r="GU140" t="s">
        <v>3</v>
      </c>
      <c r="GV140">
        <f t="shared" si="147"/>
        <v>0</v>
      </c>
      <c r="GW140">
        <v>1</v>
      </c>
      <c r="GX140">
        <f t="shared" si="148"/>
        <v>0</v>
      </c>
      <c r="HA140">
        <v>0</v>
      </c>
      <c r="HB140">
        <v>0</v>
      </c>
      <c r="HC140">
        <f t="shared" si="149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1</v>
      </c>
      <c r="D141">
        <f>ROW(EtalonRes!A92)</f>
        <v>92</v>
      </c>
      <c r="E141" t="s">
        <v>3</v>
      </c>
      <c r="F141" t="s">
        <v>225</v>
      </c>
      <c r="G141" t="s">
        <v>226</v>
      </c>
      <c r="H141" t="s">
        <v>18</v>
      </c>
      <c r="I141">
        <f>ROUND((12*15)/10,9)</f>
        <v>18</v>
      </c>
      <c r="J141">
        <v>0</v>
      </c>
      <c r="K141">
        <f>ROUND((12*15)/10,9)</f>
        <v>18</v>
      </c>
      <c r="O141">
        <f t="shared" si="117"/>
        <v>4559.3999999999996</v>
      </c>
      <c r="P141">
        <f t="shared" si="118"/>
        <v>113.4</v>
      </c>
      <c r="Q141">
        <f t="shared" si="119"/>
        <v>0</v>
      </c>
      <c r="R141">
        <f t="shared" si="120"/>
        <v>0</v>
      </c>
      <c r="S141">
        <f t="shared" si="121"/>
        <v>4446</v>
      </c>
      <c r="T141">
        <f t="shared" si="122"/>
        <v>0</v>
      </c>
      <c r="U141">
        <f t="shared" si="123"/>
        <v>7.2</v>
      </c>
      <c r="V141">
        <f t="shared" si="124"/>
        <v>0</v>
      </c>
      <c r="W141">
        <f t="shared" si="125"/>
        <v>0</v>
      </c>
      <c r="X141">
        <f t="shared" si="126"/>
        <v>3112.2</v>
      </c>
      <c r="Y141">
        <f t="shared" si="127"/>
        <v>444.6</v>
      </c>
      <c r="AA141">
        <v>-1</v>
      </c>
      <c r="AB141">
        <f t="shared" si="128"/>
        <v>253.3</v>
      </c>
      <c r="AC141">
        <f>ROUND((ES141),6)</f>
        <v>6.3</v>
      </c>
      <c r="AD141">
        <f>ROUND((((ET141)-(EU141))+AE141),6)</f>
        <v>0</v>
      </c>
      <c r="AE141">
        <f>ROUND((EU141),6)</f>
        <v>0</v>
      </c>
      <c r="AF141">
        <f>ROUND((EV141),6)</f>
        <v>247</v>
      </c>
      <c r="AG141">
        <f t="shared" si="129"/>
        <v>0</v>
      </c>
      <c r="AH141">
        <f>(EW141)</f>
        <v>0.4</v>
      </c>
      <c r="AI141">
        <f>(EX141)</f>
        <v>0</v>
      </c>
      <c r="AJ141">
        <f t="shared" si="130"/>
        <v>0</v>
      </c>
      <c r="AK141">
        <v>253.3</v>
      </c>
      <c r="AL141">
        <v>6.3</v>
      </c>
      <c r="AM141">
        <v>0</v>
      </c>
      <c r="AN141">
        <v>0</v>
      </c>
      <c r="AO141">
        <v>247</v>
      </c>
      <c r="AP141">
        <v>0</v>
      </c>
      <c r="AQ141">
        <v>0.4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227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31"/>
        <v>4559.3999999999996</v>
      </c>
      <c r="CQ141">
        <f t="shared" si="132"/>
        <v>6.3</v>
      </c>
      <c r="CR141">
        <f>((((ET141)*BB141-(EU141)*BS141)+AE141*BS141)*AV141)</f>
        <v>0</v>
      </c>
      <c r="CS141">
        <f t="shared" si="133"/>
        <v>0</v>
      </c>
      <c r="CT141">
        <f t="shared" si="134"/>
        <v>247</v>
      </c>
      <c r="CU141">
        <f t="shared" si="135"/>
        <v>0</v>
      </c>
      <c r="CV141">
        <f t="shared" si="136"/>
        <v>0.4</v>
      </c>
      <c r="CW141">
        <f t="shared" si="137"/>
        <v>0</v>
      </c>
      <c r="CX141">
        <f t="shared" si="138"/>
        <v>0</v>
      </c>
      <c r="CY141">
        <f t="shared" si="139"/>
        <v>3112.2</v>
      </c>
      <c r="CZ141">
        <f t="shared" si="140"/>
        <v>444.6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16987630</v>
      </c>
      <c r="DV141" t="s">
        <v>18</v>
      </c>
      <c r="DW141" t="s">
        <v>18</v>
      </c>
      <c r="DX141">
        <v>10</v>
      </c>
      <c r="DZ141" t="s">
        <v>3</v>
      </c>
      <c r="EA141" t="s">
        <v>3</v>
      </c>
      <c r="EB141" t="s">
        <v>3</v>
      </c>
      <c r="EC141" t="s">
        <v>3</v>
      </c>
      <c r="EE141">
        <v>1441815344</v>
      </c>
      <c r="EF141">
        <v>1</v>
      </c>
      <c r="EG141" t="s">
        <v>21</v>
      </c>
      <c r="EH141">
        <v>0</v>
      </c>
      <c r="EI141" t="s">
        <v>3</v>
      </c>
      <c r="EJ141">
        <v>4</v>
      </c>
      <c r="EK141">
        <v>0</v>
      </c>
      <c r="EL141" t="s">
        <v>22</v>
      </c>
      <c r="EM141" t="s">
        <v>23</v>
      </c>
      <c r="EO141" t="s">
        <v>3</v>
      </c>
      <c r="EQ141">
        <v>1024</v>
      </c>
      <c r="ER141">
        <v>253.3</v>
      </c>
      <c r="ES141">
        <v>6.3</v>
      </c>
      <c r="ET141">
        <v>0</v>
      </c>
      <c r="EU141">
        <v>0</v>
      </c>
      <c r="EV141">
        <v>247</v>
      </c>
      <c r="EW141">
        <v>0.4</v>
      </c>
      <c r="EX141">
        <v>0</v>
      </c>
      <c r="EY141">
        <v>0</v>
      </c>
      <c r="FQ141">
        <v>0</v>
      </c>
      <c r="FR141">
        <f t="shared" si="141"/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526043079</v>
      </c>
      <c r="GG141">
        <v>2</v>
      </c>
      <c r="GH141">
        <v>1</v>
      </c>
      <c r="GI141">
        <v>-2</v>
      </c>
      <c r="GJ141">
        <v>0</v>
      </c>
      <c r="GK141">
        <f>ROUND(R141*(R12)/100,2)</f>
        <v>0</v>
      </c>
      <c r="GL141">
        <f t="shared" si="142"/>
        <v>0</v>
      </c>
      <c r="GM141">
        <f t="shared" si="143"/>
        <v>8116.2</v>
      </c>
      <c r="GN141">
        <f t="shared" si="144"/>
        <v>0</v>
      </c>
      <c r="GO141">
        <f t="shared" si="145"/>
        <v>0</v>
      </c>
      <c r="GP141">
        <f t="shared" si="146"/>
        <v>8116.2</v>
      </c>
      <c r="GR141">
        <v>0</v>
      </c>
      <c r="GS141">
        <v>3</v>
      </c>
      <c r="GT141">
        <v>0</v>
      </c>
      <c r="GU141" t="s">
        <v>3</v>
      </c>
      <c r="GV141">
        <f t="shared" si="147"/>
        <v>0</v>
      </c>
      <c r="GW141">
        <v>1</v>
      </c>
      <c r="GX141">
        <f t="shared" si="148"/>
        <v>0</v>
      </c>
      <c r="HA141">
        <v>0</v>
      </c>
      <c r="HB141">
        <v>0</v>
      </c>
      <c r="HC141">
        <f t="shared" si="149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1</v>
      </c>
      <c r="D142">
        <f>ROW(EtalonRes!A94)</f>
        <v>94</v>
      </c>
      <c r="E142" t="s">
        <v>228</v>
      </c>
      <c r="F142" t="s">
        <v>229</v>
      </c>
      <c r="G142" t="s">
        <v>230</v>
      </c>
      <c r="H142" t="s">
        <v>18</v>
      </c>
      <c r="I142">
        <f>ROUND((12*15)/10,9)</f>
        <v>18</v>
      </c>
      <c r="J142">
        <v>0</v>
      </c>
      <c r="K142">
        <f>ROUND((12*15)/10,9)</f>
        <v>18</v>
      </c>
      <c r="O142">
        <f t="shared" si="117"/>
        <v>2114.1</v>
      </c>
      <c r="P142">
        <f t="shared" si="118"/>
        <v>113.4</v>
      </c>
      <c r="Q142">
        <f t="shared" si="119"/>
        <v>0</v>
      </c>
      <c r="R142">
        <f t="shared" si="120"/>
        <v>0</v>
      </c>
      <c r="S142">
        <f t="shared" si="121"/>
        <v>2000.7</v>
      </c>
      <c r="T142">
        <f t="shared" si="122"/>
        <v>0</v>
      </c>
      <c r="U142">
        <f t="shared" si="123"/>
        <v>3.2399999999999998</v>
      </c>
      <c r="V142">
        <f t="shared" si="124"/>
        <v>0</v>
      </c>
      <c r="W142">
        <f t="shared" si="125"/>
        <v>0</v>
      </c>
      <c r="X142">
        <f t="shared" si="126"/>
        <v>1400.49</v>
      </c>
      <c r="Y142">
        <f t="shared" si="127"/>
        <v>200.07</v>
      </c>
      <c r="AA142">
        <v>1471531721</v>
      </c>
      <c r="AB142">
        <f t="shared" si="128"/>
        <v>117.45</v>
      </c>
      <c r="AC142">
        <f>ROUND((ES142),6)</f>
        <v>6.3</v>
      </c>
      <c r="AD142">
        <f>ROUND((((ET142)-(EU142))+AE142),6)</f>
        <v>0</v>
      </c>
      <c r="AE142">
        <f>ROUND((EU142),6)</f>
        <v>0</v>
      </c>
      <c r="AF142">
        <f>ROUND((EV142),6)</f>
        <v>111.15</v>
      </c>
      <c r="AG142">
        <f t="shared" si="129"/>
        <v>0</v>
      </c>
      <c r="AH142">
        <f>(EW142)</f>
        <v>0.18</v>
      </c>
      <c r="AI142">
        <f>(EX142)</f>
        <v>0</v>
      </c>
      <c r="AJ142">
        <f t="shared" si="130"/>
        <v>0</v>
      </c>
      <c r="AK142">
        <v>117.45</v>
      </c>
      <c r="AL142">
        <v>6.3</v>
      </c>
      <c r="AM142">
        <v>0</v>
      </c>
      <c r="AN142">
        <v>0</v>
      </c>
      <c r="AO142">
        <v>111.15</v>
      </c>
      <c r="AP142">
        <v>0</v>
      </c>
      <c r="AQ142">
        <v>0.18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231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31"/>
        <v>2114.1</v>
      </c>
      <c r="CQ142">
        <f t="shared" si="132"/>
        <v>6.3</v>
      </c>
      <c r="CR142">
        <f>((((ET142)*BB142-(EU142)*BS142)+AE142*BS142)*AV142)</f>
        <v>0</v>
      </c>
      <c r="CS142">
        <f t="shared" si="133"/>
        <v>0</v>
      </c>
      <c r="CT142">
        <f t="shared" si="134"/>
        <v>111.15</v>
      </c>
      <c r="CU142">
        <f t="shared" si="135"/>
        <v>0</v>
      </c>
      <c r="CV142">
        <f t="shared" si="136"/>
        <v>0.18</v>
      </c>
      <c r="CW142">
        <f t="shared" si="137"/>
        <v>0</v>
      </c>
      <c r="CX142">
        <f t="shared" si="138"/>
        <v>0</v>
      </c>
      <c r="CY142">
        <f t="shared" si="139"/>
        <v>1400.49</v>
      </c>
      <c r="CZ142">
        <f t="shared" si="140"/>
        <v>200.07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16987630</v>
      </c>
      <c r="DV142" t="s">
        <v>18</v>
      </c>
      <c r="DW142" t="s">
        <v>18</v>
      </c>
      <c r="DX142">
        <v>10</v>
      </c>
      <c r="DZ142" t="s">
        <v>3</v>
      </c>
      <c r="EA142" t="s">
        <v>3</v>
      </c>
      <c r="EB142" t="s">
        <v>3</v>
      </c>
      <c r="EC142" t="s">
        <v>3</v>
      </c>
      <c r="EE142">
        <v>1441815344</v>
      </c>
      <c r="EF142">
        <v>1</v>
      </c>
      <c r="EG142" t="s">
        <v>21</v>
      </c>
      <c r="EH142">
        <v>0</v>
      </c>
      <c r="EI142" t="s">
        <v>3</v>
      </c>
      <c r="EJ142">
        <v>4</v>
      </c>
      <c r="EK142">
        <v>0</v>
      </c>
      <c r="EL142" t="s">
        <v>22</v>
      </c>
      <c r="EM142" t="s">
        <v>23</v>
      </c>
      <c r="EO142" t="s">
        <v>3</v>
      </c>
      <c r="EQ142">
        <v>0</v>
      </c>
      <c r="ER142">
        <v>117.45</v>
      </c>
      <c r="ES142">
        <v>6.3</v>
      </c>
      <c r="ET142">
        <v>0</v>
      </c>
      <c r="EU142">
        <v>0</v>
      </c>
      <c r="EV142">
        <v>111.15</v>
      </c>
      <c r="EW142">
        <v>0.18</v>
      </c>
      <c r="EX142">
        <v>0</v>
      </c>
      <c r="EY142">
        <v>0</v>
      </c>
      <c r="FQ142">
        <v>0</v>
      </c>
      <c r="FR142">
        <f t="shared" si="141"/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1310870617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42"/>
        <v>0</v>
      </c>
      <c r="GM142">
        <f t="shared" si="143"/>
        <v>3714.66</v>
      </c>
      <c r="GN142">
        <f t="shared" si="144"/>
        <v>0</v>
      </c>
      <c r="GO142">
        <f t="shared" si="145"/>
        <v>0</v>
      </c>
      <c r="GP142">
        <f t="shared" si="146"/>
        <v>3714.66</v>
      </c>
      <c r="GR142">
        <v>0</v>
      </c>
      <c r="GS142">
        <v>3</v>
      </c>
      <c r="GT142">
        <v>0</v>
      </c>
      <c r="GU142" t="s">
        <v>3</v>
      </c>
      <c r="GV142">
        <f t="shared" si="147"/>
        <v>0</v>
      </c>
      <c r="GW142">
        <v>1</v>
      </c>
      <c r="GX142">
        <f t="shared" si="148"/>
        <v>0</v>
      </c>
      <c r="HA142">
        <v>0</v>
      </c>
      <c r="HB142">
        <v>0</v>
      </c>
      <c r="HC142">
        <f t="shared" si="149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D143">
        <f>ROW(EtalonRes!A95)</f>
        <v>95</v>
      </c>
      <c r="E143" t="s">
        <v>3</v>
      </c>
      <c r="F143" t="s">
        <v>232</v>
      </c>
      <c r="G143" t="s">
        <v>233</v>
      </c>
      <c r="H143" t="s">
        <v>31</v>
      </c>
      <c r="I143">
        <f>ROUND((12*15)/100,9)</f>
        <v>1.8</v>
      </c>
      <c r="J143">
        <v>0</v>
      </c>
      <c r="K143">
        <f>ROUND((12*15)/100,9)</f>
        <v>1.8</v>
      </c>
      <c r="O143">
        <f t="shared" si="117"/>
        <v>656.86</v>
      </c>
      <c r="P143">
        <f t="shared" si="118"/>
        <v>0</v>
      </c>
      <c r="Q143">
        <f t="shared" si="119"/>
        <v>0</v>
      </c>
      <c r="R143">
        <f t="shared" si="120"/>
        <v>0</v>
      </c>
      <c r="S143">
        <f t="shared" si="121"/>
        <v>656.86</v>
      </c>
      <c r="T143">
        <f t="shared" si="122"/>
        <v>0</v>
      </c>
      <c r="U143">
        <f t="shared" si="123"/>
        <v>1.296</v>
      </c>
      <c r="V143">
        <f t="shared" si="124"/>
        <v>0</v>
      </c>
      <c r="W143">
        <f t="shared" si="125"/>
        <v>0</v>
      </c>
      <c r="X143">
        <f t="shared" si="126"/>
        <v>459.8</v>
      </c>
      <c r="Y143">
        <f t="shared" si="127"/>
        <v>65.69</v>
      </c>
      <c r="AA143">
        <v>-1</v>
      </c>
      <c r="AB143">
        <f t="shared" si="128"/>
        <v>364.92</v>
      </c>
      <c r="AC143">
        <f>ROUND(((ES143*3)),6)</f>
        <v>0</v>
      </c>
      <c r="AD143">
        <f>ROUND(((((ET143*3))-((EU143*3)))+AE143),6)</f>
        <v>0</v>
      </c>
      <c r="AE143">
        <f>ROUND(((EU143*3)),6)</f>
        <v>0</v>
      </c>
      <c r="AF143">
        <f>ROUND(((EV143*3)),6)</f>
        <v>364.92</v>
      </c>
      <c r="AG143">
        <f t="shared" si="129"/>
        <v>0</v>
      </c>
      <c r="AH143">
        <f>((EW143*3))</f>
        <v>0.72</v>
      </c>
      <c r="AI143">
        <f>((EX143*3))</f>
        <v>0</v>
      </c>
      <c r="AJ143">
        <f t="shared" si="130"/>
        <v>0</v>
      </c>
      <c r="AK143">
        <v>121.64</v>
      </c>
      <c r="AL143">
        <v>0</v>
      </c>
      <c r="AM143">
        <v>0</v>
      </c>
      <c r="AN143">
        <v>0</v>
      </c>
      <c r="AO143">
        <v>121.64</v>
      </c>
      <c r="AP143">
        <v>0</v>
      </c>
      <c r="AQ143">
        <v>0.24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234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31"/>
        <v>656.86</v>
      </c>
      <c r="CQ143">
        <f t="shared" si="132"/>
        <v>0</v>
      </c>
      <c r="CR143">
        <f>(((((ET143*3))*BB143-((EU143*3))*BS143)+AE143*BS143)*AV143)</f>
        <v>0</v>
      </c>
      <c r="CS143">
        <f t="shared" si="133"/>
        <v>0</v>
      </c>
      <c r="CT143">
        <f t="shared" si="134"/>
        <v>364.92</v>
      </c>
      <c r="CU143">
        <f t="shared" si="135"/>
        <v>0</v>
      </c>
      <c r="CV143">
        <f t="shared" si="136"/>
        <v>0.72</v>
      </c>
      <c r="CW143">
        <f t="shared" si="137"/>
        <v>0</v>
      </c>
      <c r="CX143">
        <f t="shared" si="138"/>
        <v>0</v>
      </c>
      <c r="CY143">
        <f t="shared" si="139"/>
        <v>459.80200000000002</v>
      </c>
      <c r="CZ143">
        <f t="shared" si="140"/>
        <v>65.686000000000007</v>
      </c>
      <c r="DC143" t="s">
        <v>3</v>
      </c>
      <c r="DD143" t="s">
        <v>156</v>
      </c>
      <c r="DE143" t="s">
        <v>156</v>
      </c>
      <c r="DF143" t="s">
        <v>156</v>
      </c>
      <c r="DG143" t="s">
        <v>156</v>
      </c>
      <c r="DH143" t="s">
        <v>3</v>
      </c>
      <c r="DI143" t="s">
        <v>156</v>
      </c>
      <c r="DJ143" t="s">
        <v>156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16987630</v>
      </c>
      <c r="DV143" t="s">
        <v>31</v>
      </c>
      <c r="DW143" t="s">
        <v>31</v>
      </c>
      <c r="DX143">
        <v>100</v>
      </c>
      <c r="DZ143" t="s">
        <v>3</v>
      </c>
      <c r="EA143" t="s">
        <v>3</v>
      </c>
      <c r="EB143" t="s">
        <v>3</v>
      </c>
      <c r="EC143" t="s">
        <v>3</v>
      </c>
      <c r="EE143">
        <v>1441815344</v>
      </c>
      <c r="EF143">
        <v>1</v>
      </c>
      <c r="EG143" t="s">
        <v>21</v>
      </c>
      <c r="EH143">
        <v>0</v>
      </c>
      <c r="EI143" t="s">
        <v>3</v>
      </c>
      <c r="EJ143">
        <v>4</v>
      </c>
      <c r="EK143">
        <v>0</v>
      </c>
      <c r="EL143" t="s">
        <v>22</v>
      </c>
      <c r="EM143" t="s">
        <v>23</v>
      </c>
      <c r="EO143" t="s">
        <v>3</v>
      </c>
      <c r="EQ143">
        <v>1024</v>
      </c>
      <c r="ER143">
        <v>121.64</v>
      </c>
      <c r="ES143">
        <v>0</v>
      </c>
      <c r="ET143">
        <v>0</v>
      </c>
      <c r="EU143">
        <v>0</v>
      </c>
      <c r="EV143">
        <v>121.64</v>
      </c>
      <c r="EW143">
        <v>0.24</v>
      </c>
      <c r="EX143">
        <v>0</v>
      </c>
      <c r="EY143">
        <v>0</v>
      </c>
      <c r="FQ143">
        <v>0</v>
      </c>
      <c r="FR143">
        <f t="shared" si="141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1019270866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</v>
      </c>
      <c r="GL143">
        <f t="shared" si="142"/>
        <v>0</v>
      </c>
      <c r="GM143">
        <f t="shared" si="143"/>
        <v>1182.3499999999999</v>
      </c>
      <c r="GN143">
        <f t="shared" si="144"/>
        <v>0</v>
      </c>
      <c r="GO143">
        <f t="shared" si="145"/>
        <v>0</v>
      </c>
      <c r="GP143">
        <f t="shared" si="146"/>
        <v>1182.3499999999999</v>
      </c>
      <c r="GR143">
        <v>0</v>
      </c>
      <c r="GS143">
        <v>3</v>
      </c>
      <c r="GT143">
        <v>0</v>
      </c>
      <c r="GU143" t="s">
        <v>3</v>
      </c>
      <c r="GV143">
        <f t="shared" si="147"/>
        <v>0</v>
      </c>
      <c r="GW143">
        <v>1</v>
      </c>
      <c r="GX143">
        <f t="shared" si="148"/>
        <v>0</v>
      </c>
      <c r="HA143">
        <v>0</v>
      </c>
      <c r="HB143">
        <v>0</v>
      </c>
      <c r="HC143">
        <f t="shared" si="149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D144">
        <f>ROW(EtalonRes!A97)</f>
        <v>97</v>
      </c>
      <c r="E144" t="s">
        <v>235</v>
      </c>
      <c r="F144" t="s">
        <v>236</v>
      </c>
      <c r="G144" t="s">
        <v>237</v>
      </c>
      <c r="H144" t="s">
        <v>60</v>
      </c>
      <c r="I144">
        <f>ROUND(ROUND((60*15)*0.2*0.1/100,9),9)</f>
        <v>0.18</v>
      </c>
      <c r="J144">
        <v>0</v>
      </c>
      <c r="K144">
        <f>ROUND(ROUND((60*15)*0.2*0.1/100,9),9)</f>
        <v>0.18</v>
      </c>
      <c r="O144">
        <f t="shared" si="117"/>
        <v>967.62</v>
      </c>
      <c r="P144">
        <f t="shared" si="118"/>
        <v>4.05</v>
      </c>
      <c r="Q144">
        <f t="shared" si="119"/>
        <v>0</v>
      </c>
      <c r="R144">
        <f t="shared" si="120"/>
        <v>0</v>
      </c>
      <c r="S144">
        <f t="shared" si="121"/>
        <v>963.57</v>
      </c>
      <c r="T144">
        <f t="shared" si="122"/>
        <v>0</v>
      </c>
      <c r="U144">
        <f t="shared" si="123"/>
        <v>1.7999999999999998</v>
      </c>
      <c r="V144">
        <f t="shared" si="124"/>
        <v>0</v>
      </c>
      <c r="W144">
        <f t="shared" si="125"/>
        <v>0</v>
      </c>
      <c r="X144">
        <f t="shared" si="126"/>
        <v>674.5</v>
      </c>
      <c r="Y144">
        <f t="shared" si="127"/>
        <v>96.36</v>
      </c>
      <c r="AA144">
        <v>1471531721</v>
      </c>
      <c r="AB144">
        <f t="shared" si="128"/>
        <v>5375.66</v>
      </c>
      <c r="AC144">
        <f>ROUND((ES144),6)</f>
        <v>22.51</v>
      </c>
      <c r="AD144">
        <f>ROUND((((ET144)-(EU144))+AE144),6)</f>
        <v>0</v>
      </c>
      <c r="AE144">
        <f t="shared" ref="AE144:AF147" si="150">ROUND((EU144),6)</f>
        <v>0</v>
      </c>
      <c r="AF144">
        <f t="shared" si="150"/>
        <v>5353.15</v>
      </c>
      <c r="AG144">
        <f t="shared" si="129"/>
        <v>0</v>
      </c>
      <c r="AH144">
        <f t="shared" ref="AH144:AI147" si="151">(EW144)</f>
        <v>10</v>
      </c>
      <c r="AI144">
        <f t="shared" si="151"/>
        <v>0</v>
      </c>
      <c r="AJ144">
        <f t="shared" si="130"/>
        <v>0</v>
      </c>
      <c r="AK144">
        <v>5375.66</v>
      </c>
      <c r="AL144">
        <v>22.51</v>
      </c>
      <c r="AM144">
        <v>0</v>
      </c>
      <c r="AN144">
        <v>0</v>
      </c>
      <c r="AO144">
        <v>5353.15</v>
      </c>
      <c r="AP144">
        <v>0</v>
      </c>
      <c r="AQ144">
        <v>10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238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31"/>
        <v>967.62</v>
      </c>
      <c r="CQ144">
        <f t="shared" si="132"/>
        <v>22.51</v>
      </c>
      <c r="CR144">
        <f>((((ET144)*BB144-(EU144)*BS144)+AE144*BS144)*AV144)</f>
        <v>0</v>
      </c>
      <c r="CS144">
        <f t="shared" si="133"/>
        <v>0</v>
      </c>
      <c r="CT144">
        <f t="shared" si="134"/>
        <v>5353.15</v>
      </c>
      <c r="CU144">
        <f t="shared" si="135"/>
        <v>0</v>
      </c>
      <c r="CV144">
        <f t="shared" si="136"/>
        <v>10</v>
      </c>
      <c r="CW144">
        <f t="shared" si="137"/>
        <v>0</v>
      </c>
      <c r="CX144">
        <f t="shared" si="138"/>
        <v>0</v>
      </c>
      <c r="CY144">
        <f t="shared" si="139"/>
        <v>674.49900000000014</v>
      </c>
      <c r="CZ144">
        <f t="shared" si="140"/>
        <v>96.357000000000014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1003</v>
      </c>
      <c r="DV144" t="s">
        <v>60</v>
      </c>
      <c r="DW144" t="s">
        <v>60</v>
      </c>
      <c r="DX144">
        <v>100</v>
      </c>
      <c r="DZ144" t="s">
        <v>3</v>
      </c>
      <c r="EA144" t="s">
        <v>3</v>
      </c>
      <c r="EB144" t="s">
        <v>3</v>
      </c>
      <c r="EC144" t="s">
        <v>3</v>
      </c>
      <c r="EE144">
        <v>1441815344</v>
      </c>
      <c r="EF144">
        <v>1</v>
      </c>
      <c r="EG144" t="s">
        <v>21</v>
      </c>
      <c r="EH144">
        <v>0</v>
      </c>
      <c r="EI144" t="s">
        <v>3</v>
      </c>
      <c r="EJ144">
        <v>4</v>
      </c>
      <c r="EK144">
        <v>0</v>
      </c>
      <c r="EL144" t="s">
        <v>22</v>
      </c>
      <c r="EM144" t="s">
        <v>23</v>
      </c>
      <c r="EO144" t="s">
        <v>3</v>
      </c>
      <c r="EQ144">
        <v>0</v>
      </c>
      <c r="ER144">
        <v>5375.66</v>
      </c>
      <c r="ES144">
        <v>22.51</v>
      </c>
      <c r="ET144">
        <v>0</v>
      </c>
      <c r="EU144">
        <v>0</v>
      </c>
      <c r="EV144">
        <v>5353.15</v>
      </c>
      <c r="EW144">
        <v>10</v>
      </c>
      <c r="EX144">
        <v>0</v>
      </c>
      <c r="EY144">
        <v>0</v>
      </c>
      <c r="FQ144">
        <v>0</v>
      </c>
      <c r="FR144">
        <f t="shared" si="141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29112068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42"/>
        <v>0</v>
      </c>
      <c r="GM144">
        <f t="shared" si="143"/>
        <v>1738.48</v>
      </c>
      <c r="GN144">
        <f t="shared" si="144"/>
        <v>0</v>
      </c>
      <c r="GO144">
        <f t="shared" si="145"/>
        <v>0</v>
      </c>
      <c r="GP144">
        <f t="shared" si="146"/>
        <v>1738.48</v>
      </c>
      <c r="GR144">
        <v>0</v>
      </c>
      <c r="GS144">
        <v>3</v>
      </c>
      <c r="GT144">
        <v>0</v>
      </c>
      <c r="GU144" t="s">
        <v>3</v>
      </c>
      <c r="GV144">
        <f t="shared" si="147"/>
        <v>0</v>
      </c>
      <c r="GW144">
        <v>1</v>
      </c>
      <c r="GX144">
        <f t="shared" si="148"/>
        <v>0</v>
      </c>
      <c r="HA144">
        <v>0</v>
      </c>
      <c r="HB144">
        <v>0</v>
      </c>
      <c r="HC144">
        <f t="shared" si="149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17</v>
      </c>
      <c r="B145">
        <v>1</v>
      </c>
      <c r="D145">
        <f>ROW(EtalonRes!A98)</f>
        <v>98</v>
      </c>
      <c r="E145" t="s">
        <v>3</v>
      </c>
      <c r="F145" t="s">
        <v>239</v>
      </c>
      <c r="G145" t="s">
        <v>240</v>
      </c>
      <c r="H145" t="s">
        <v>60</v>
      </c>
      <c r="I145">
        <f>ROUND(60*15*0.1/100,9)</f>
        <v>0.9</v>
      </c>
      <c r="J145">
        <v>0</v>
      </c>
      <c r="K145">
        <f>ROUND(60*15*0.1/100,9)</f>
        <v>0.9</v>
      </c>
      <c r="O145">
        <f t="shared" si="117"/>
        <v>158.99</v>
      </c>
      <c r="P145">
        <f t="shared" si="118"/>
        <v>0</v>
      </c>
      <c r="Q145">
        <f t="shared" si="119"/>
        <v>0</v>
      </c>
      <c r="R145">
        <f t="shared" si="120"/>
        <v>0</v>
      </c>
      <c r="S145">
        <f t="shared" si="121"/>
        <v>158.99</v>
      </c>
      <c r="T145">
        <f t="shared" si="122"/>
        <v>0</v>
      </c>
      <c r="U145">
        <f t="shared" si="123"/>
        <v>0.29700000000000004</v>
      </c>
      <c r="V145">
        <f t="shared" si="124"/>
        <v>0</v>
      </c>
      <c r="W145">
        <f t="shared" si="125"/>
        <v>0</v>
      </c>
      <c r="X145">
        <f t="shared" si="126"/>
        <v>111.29</v>
      </c>
      <c r="Y145">
        <f t="shared" si="127"/>
        <v>15.9</v>
      </c>
      <c r="AA145">
        <v>-1</v>
      </c>
      <c r="AB145">
        <f t="shared" si="128"/>
        <v>176.66</v>
      </c>
      <c r="AC145">
        <f>ROUND((ES145),6)</f>
        <v>0</v>
      </c>
      <c r="AD145">
        <f>ROUND((((ET145)-(EU145))+AE145),6)</f>
        <v>0</v>
      </c>
      <c r="AE145">
        <f t="shared" si="150"/>
        <v>0</v>
      </c>
      <c r="AF145">
        <f t="shared" si="150"/>
        <v>176.66</v>
      </c>
      <c r="AG145">
        <f t="shared" si="129"/>
        <v>0</v>
      </c>
      <c r="AH145">
        <f t="shared" si="151"/>
        <v>0.33</v>
      </c>
      <c r="AI145">
        <f t="shared" si="151"/>
        <v>0</v>
      </c>
      <c r="AJ145">
        <f t="shared" si="130"/>
        <v>0</v>
      </c>
      <c r="AK145">
        <v>176.66</v>
      </c>
      <c r="AL145">
        <v>0</v>
      </c>
      <c r="AM145">
        <v>0</v>
      </c>
      <c r="AN145">
        <v>0</v>
      </c>
      <c r="AO145">
        <v>176.66</v>
      </c>
      <c r="AP145">
        <v>0</v>
      </c>
      <c r="AQ145">
        <v>0.33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241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31"/>
        <v>158.99</v>
      </c>
      <c r="CQ145">
        <f t="shared" si="132"/>
        <v>0</v>
      </c>
      <c r="CR145">
        <f>((((ET145)*BB145-(EU145)*BS145)+AE145*BS145)*AV145)</f>
        <v>0</v>
      </c>
      <c r="CS145">
        <f t="shared" si="133"/>
        <v>0</v>
      </c>
      <c r="CT145">
        <f t="shared" si="134"/>
        <v>176.66</v>
      </c>
      <c r="CU145">
        <f t="shared" si="135"/>
        <v>0</v>
      </c>
      <c r="CV145">
        <f t="shared" si="136"/>
        <v>0.33</v>
      </c>
      <c r="CW145">
        <f t="shared" si="137"/>
        <v>0</v>
      </c>
      <c r="CX145">
        <f t="shared" si="138"/>
        <v>0</v>
      </c>
      <c r="CY145">
        <f t="shared" si="139"/>
        <v>111.29300000000001</v>
      </c>
      <c r="CZ145">
        <f t="shared" si="140"/>
        <v>15.899000000000001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1003</v>
      </c>
      <c r="DV145" t="s">
        <v>60</v>
      </c>
      <c r="DW145" t="s">
        <v>60</v>
      </c>
      <c r="DX145">
        <v>100</v>
      </c>
      <c r="DZ145" t="s">
        <v>3</v>
      </c>
      <c r="EA145" t="s">
        <v>3</v>
      </c>
      <c r="EB145" t="s">
        <v>3</v>
      </c>
      <c r="EC145" t="s">
        <v>3</v>
      </c>
      <c r="EE145">
        <v>1441815344</v>
      </c>
      <c r="EF145">
        <v>1</v>
      </c>
      <c r="EG145" t="s">
        <v>21</v>
      </c>
      <c r="EH145">
        <v>0</v>
      </c>
      <c r="EI145" t="s">
        <v>3</v>
      </c>
      <c r="EJ145">
        <v>4</v>
      </c>
      <c r="EK145">
        <v>0</v>
      </c>
      <c r="EL145" t="s">
        <v>22</v>
      </c>
      <c r="EM145" t="s">
        <v>23</v>
      </c>
      <c r="EO145" t="s">
        <v>3</v>
      </c>
      <c r="EQ145">
        <v>1024</v>
      </c>
      <c r="ER145">
        <v>176.66</v>
      </c>
      <c r="ES145">
        <v>0</v>
      </c>
      <c r="ET145">
        <v>0</v>
      </c>
      <c r="EU145">
        <v>0</v>
      </c>
      <c r="EV145">
        <v>176.66</v>
      </c>
      <c r="EW145">
        <v>0.33</v>
      </c>
      <c r="EX145">
        <v>0</v>
      </c>
      <c r="EY145">
        <v>0</v>
      </c>
      <c r="FQ145">
        <v>0</v>
      </c>
      <c r="FR145">
        <f t="shared" si="141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-21109996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42"/>
        <v>0</v>
      </c>
      <c r="GM145">
        <f t="shared" si="143"/>
        <v>286.18</v>
      </c>
      <c r="GN145">
        <f t="shared" si="144"/>
        <v>0</v>
      </c>
      <c r="GO145">
        <f t="shared" si="145"/>
        <v>0</v>
      </c>
      <c r="GP145">
        <f t="shared" si="146"/>
        <v>286.18</v>
      </c>
      <c r="GR145">
        <v>0</v>
      </c>
      <c r="GS145">
        <v>3</v>
      </c>
      <c r="GT145">
        <v>0</v>
      </c>
      <c r="GU145" t="s">
        <v>3</v>
      </c>
      <c r="GV145">
        <f t="shared" si="147"/>
        <v>0</v>
      </c>
      <c r="GW145">
        <v>1</v>
      </c>
      <c r="GX145">
        <f t="shared" si="148"/>
        <v>0</v>
      </c>
      <c r="HA145">
        <v>0</v>
      </c>
      <c r="HB145">
        <v>0</v>
      </c>
      <c r="HC145">
        <f t="shared" si="149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17</v>
      </c>
      <c r="B146">
        <v>1</v>
      </c>
      <c r="D146">
        <f>ROW(EtalonRes!A100)</f>
        <v>100</v>
      </c>
      <c r="E146" t="s">
        <v>242</v>
      </c>
      <c r="F146" t="s">
        <v>236</v>
      </c>
      <c r="G146" t="s">
        <v>243</v>
      </c>
      <c r="H146" t="s">
        <v>60</v>
      </c>
      <c r="I146">
        <f>ROUND(ROUND((50*15)*0.2*0.1/100,9),9)</f>
        <v>0.15</v>
      </c>
      <c r="J146">
        <v>0</v>
      </c>
      <c r="K146">
        <f>ROUND(ROUND((50*15)*0.2*0.1/100,9),9)</f>
        <v>0.15</v>
      </c>
      <c r="O146">
        <f t="shared" si="117"/>
        <v>806.35</v>
      </c>
      <c r="P146">
        <f t="shared" si="118"/>
        <v>3.38</v>
      </c>
      <c r="Q146">
        <f t="shared" si="119"/>
        <v>0</v>
      </c>
      <c r="R146">
        <f t="shared" si="120"/>
        <v>0</v>
      </c>
      <c r="S146">
        <f t="shared" si="121"/>
        <v>802.97</v>
      </c>
      <c r="T146">
        <f t="shared" si="122"/>
        <v>0</v>
      </c>
      <c r="U146">
        <f t="shared" si="123"/>
        <v>1.5</v>
      </c>
      <c r="V146">
        <f t="shared" si="124"/>
        <v>0</v>
      </c>
      <c r="W146">
        <f t="shared" si="125"/>
        <v>0</v>
      </c>
      <c r="X146">
        <f t="shared" si="126"/>
        <v>562.08000000000004</v>
      </c>
      <c r="Y146">
        <f t="shared" si="127"/>
        <v>80.3</v>
      </c>
      <c r="AA146">
        <v>1471531721</v>
      </c>
      <c r="AB146">
        <f t="shared" si="128"/>
        <v>5375.66</v>
      </c>
      <c r="AC146">
        <f>ROUND((ES146),6)</f>
        <v>22.51</v>
      </c>
      <c r="AD146">
        <f>ROUND((((ET146)-(EU146))+AE146),6)</f>
        <v>0</v>
      </c>
      <c r="AE146">
        <f t="shared" si="150"/>
        <v>0</v>
      </c>
      <c r="AF146">
        <f t="shared" si="150"/>
        <v>5353.15</v>
      </c>
      <c r="AG146">
        <f t="shared" si="129"/>
        <v>0</v>
      </c>
      <c r="AH146">
        <f t="shared" si="151"/>
        <v>10</v>
      </c>
      <c r="AI146">
        <f t="shared" si="151"/>
        <v>0</v>
      </c>
      <c r="AJ146">
        <f t="shared" si="130"/>
        <v>0</v>
      </c>
      <c r="AK146">
        <v>5375.66</v>
      </c>
      <c r="AL146">
        <v>22.51</v>
      </c>
      <c r="AM146">
        <v>0</v>
      </c>
      <c r="AN146">
        <v>0</v>
      </c>
      <c r="AO146">
        <v>5353.15</v>
      </c>
      <c r="AP146">
        <v>0</v>
      </c>
      <c r="AQ146">
        <v>10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4</v>
      </c>
      <c r="BJ146" t="s">
        <v>238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31"/>
        <v>806.35</v>
      </c>
      <c r="CQ146">
        <f t="shared" si="132"/>
        <v>22.51</v>
      </c>
      <c r="CR146">
        <f>((((ET146)*BB146-(EU146)*BS146)+AE146*BS146)*AV146)</f>
        <v>0</v>
      </c>
      <c r="CS146">
        <f t="shared" si="133"/>
        <v>0</v>
      </c>
      <c r="CT146">
        <f t="shared" si="134"/>
        <v>5353.15</v>
      </c>
      <c r="CU146">
        <f t="shared" si="135"/>
        <v>0</v>
      </c>
      <c r="CV146">
        <f t="shared" si="136"/>
        <v>10</v>
      </c>
      <c r="CW146">
        <f t="shared" si="137"/>
        <v>0</v>
      </c>
      <c r="CX146">
        <f t="shared" si="138"/>
        <v>0</v>
      </c>
      <c r="CY146">
        <f t="shared" si="139"/>
        <v>562.07900000000006</v>
      </c>
      <c r="CZ146">
        <f t="shared" si="140"/>
        <v>80.297000000000011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1003</v>
      </c>
      <c r="DV146" t="s">
        <v>60</v>
      </c>
      <c r="DW146" t="s">
        <v>60</v>
      </c>
      <c r="DX146">
        <v>100</v>
      </c>
      <c r="DZ146" t="s">
        <v>3</v>
      </c>
      <c r="EA146" t="s">
        <v>3</v>
      </c>
      <c r="EB146" t="s">
        <v>3</v>
      </c>
      <c r="EC146" t="s">
        <v>3</v>
      </c>
      <c r="EE146">
        <v>1441815344</v>
      </c>
      <c r="EF146">
        <v>1</v>
      </c>
      <c r="EG146" t="s">
        <v>21</v>
      </c>
      <c r="EH146">
        <v>0</v>
      </c>
      <c r="EI146" t="s">
        <v>3</v>
      </c>
      <c r="EJ146">
        <v>4</v>
      </c>
      <c r="EK146">
        <v>0</v>
      </c>
      <c r="EL146" t="s">
        <v>22</v>
      </c>
      <c r="EM146" t="s">
        <v>23</v>
      </c>
      <c r="EO146" t="s">
        <v>3</v>
      </c>
      <c r="EQ146">
        <v>0</v>
      </c>
      <c r="ER146">
        <v>5375.66</v>
      </c>
      <c r="ES146">
        <v>22.51</v>
      </c>
      <c r="ET146">
        <v>0</v>
      </c>
      <c r="EU146">
        <v>0</v>
      </c>
      <c r="EV146">
        <v>5353.15</v>
      </c>
      <c r="EW146">
        <v>10</v>
      </c>
      <c r="EX146">
        <v>0</v>
      </c>
      <c r="EY146">
        <v>0</v>
      </c>
      <c r="FQ146">
        <v>0</v>
      </c>
      <c r="FR146">
        <f t="shared" si="141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409781007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42"/>
        <v>0</v>
      </c>
      <c r="GM146">
        <f t="shared" si="143"/>
        <v>1448.73</v>
      </c>
      <c r="GN146">
        <f t="shared" si="144"/>
        <v>0</v>
      </c>
      <c r="GO146">
        <f t="shared" si="145"/>
        <v>0</v>
      </c>
      <c r="GP146">
        <f t="shared" si="146"/>
        <v>1448.73</v>
      </c>
      <c r="GR146">
        <v>0</v>
      </c>
      <c r="GS146">
        <v>3</v>
      </c>
      <c r="GT146">
        <v>0</v>
      </c>
      <c r="GU146" t="s">
        <v>3</v>
      </c>
      <c r="GV146">
        <f t="shared" si="147"/>
        <v>0</v>
      </c>
      <c r="GW146">
        <v>1</v>
      </c>
      <c r="GX146">
        <f t="shared" si="148"/>
        <v>0</v>
      </c>
      <c r="HA146">
        <v>0</v>
      </c>
      <c r="HB146">
        <v>0</v>
      </c>
      <c r="HC146">
        <f t="shared" si="149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17</v>
      </c>
      <c r="B147">
        <v>1</v>
      </c>
      <c r="D147">
        <f>ROW(EtalonRes!A101)</f>
        <v>101</v>
      </c>
      <c r="E147" t="s">
        <v>3</v>
      </c>
      <c r="F147" t="s">
        <v>239</v>
      </c>
      <c r="G147" t="s">
        <v>244</v>
      </c>
      <c r="H147" t="s">
        <v>60</v>
      </c>
      <c r="I147">
        <f>ROUND(50*15*0.1/100,9)</f>
        <v>0.75</v>
      </c>
      <c r="J147">
        <v>0</v>
      </c>
      <c r="K147">
        <f>ROUND(50*15*0.1/100,9)</f>
        <v>0.75</v>
      </c>
      <c r="O147">
        <f t="shared" si="117"/>
        <v>132.5</v>
      </c>
      <c r="P147">
        <f t="shared" si="118"/>
        <v>0</v>
      </c>
      <c r="Q147">
        <f t="shared" si="119"/>
        <v>0</v>
      </c>
      <c r="R147">
        <f t="shared" si="120"/>
        <v>0</v>
      </c>
      <c r="S147">
        <f t="shared" si="121"/>
        <v>132.5</v>
      </c>
      <c r="T147">
        <f t="shared" si="122"/>
        <v>0</v>
      </c>
      <c r="U147">
        <f t="shared" si="123"/>
        <v>0.2475</v>
      </c>
      <c r="V147">
        <f t="shared" si="124"/>
        <v>0</v>
      </c>
      <c r="W147">
        <f t="shared" si="125"/>
        <v>0</v>
      </c>
      <c r="X147">
        <f t="shared" si="126"/>
        <v>92.75</v>
      </c>
      <c r="Y147">
        <f t="shared" si="127"/>
        <v>13.25</v>
      </c>
      <c r="AA147">
        <v>-1</v>
      </c>
      <c r="AB147">
        <f t="shared" si="128"/>
        <v>176.66</v>
      </c>
      <c r="AC147">
        <f>ROUND((ES147),6)</f>
        <v>0</v>
      </c>
      <c r="AD147">
        <f>ROUND((((ET147)-(EU147))+AE147),6)</f>
        <v>0</v>
      </c>
      <c r="AE147">
        <f t="shared" si="150"/>
        <v>0</v>
      </c>
      <c r="AF147">
        <f t="shared" si="150"/>
        <v>176.66</v>
      </c>
      <c r="AG147">
        <f t="shared" si="129"/>
        <v>0</v>
      </c>
      <c r="AH147">
        <f t="shared" si="151"/>
        <v>0.33</v>
      </c>
      <c r="AI147">
        <f t="shared" si="151"/>
        <v>0</v>
      </c>
      <c r="AJ147">
        <f t="shared" si="130"/>
        <v>0</v>
      </c>
      <c r="AK147">
        <v>176.66</v>
      </c>
      <c r="AL147">
        <v>0</v>
      </c>
      <c r="AM147">
        <v>0</v>
      </c>
      <c r="AN147">
        <v>0</v>
      </c>
      <c r="AO147">
        <v>176.66</v>
      </c>
      <c r="AP147">
        <v>0</v>
      </c>
      <c r="AQ147">
        <v>0.33</v>
      </c>
      <c r="AR147">
        <v>0</v>
      </c>
      <c r="AS147">
        <v>0</v>
      </c>
      <c r="AT147">
        <v>70</v>
      </c>
      <c r="AU147">
        <v>10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4</v>
      </c>
      <c r="BJ147" t="s">
        <v>241</v>
      </c>
      <c r="BM147">
        <v>0</v>
      </c>
      <c r="BN147">
        <v>0</v>
      </c>
      <c r="BO147" t="s">
        <v>3</v>
      </c>
      <c r="BP147">
        <v>0</v>
      </c>
      <c r="BQ147">
        <v>1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70</v>
      </c>
      <c r="CA147">
        <v>10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131"/>
        <v>132.5</v>
      </c>
      <c r="CQ147">
        <f t="shared" si="132"/>
        <v>0</v>
      </c>
      <c r="CR147">
        <f>((((ET147)*BB147-(EU147)*BS147)+AE147*BS147)*AV147)</f>
        <v>0</v>
      </c>
      <c r="CS147">
        <f t="shared" si="133"/>
        <v>0</v>
      </c>
      <c r="CT147">
        <f t="shared" si="134"/>
        <v>176.66</v>
      </c>
      <c r="CU147">
        <f t="shared" si="135"/>
        <v>0</v>
      </c>
      <c r="CV147">
        <f t="shared" si="136"/>
        <v>0.33</v>
      </c>
      <c r="CW147">
        <f t="shared" si="137"/>
        <v>0</v>
      </c>
      <c r="CX147">
        <f t="shared" si="138"/>
        <v>0</v>
      </c>
      <c r="CY147">
        <f t="shared" si="139"/>
        <v>92.75</v>
      </c>
      <c r="CZ147">
        <f t="shared" si="140"/>
        <v>13.25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1003</v>
      </c>
      <c r="DV147" t="s">
        <v>60</v>
      </c>
      <c r="DW147" t="s">
        <v>60</v>
      </c>
      <c r="DX147">
        <v>100</v>
      </c>
      <c r="DZ147" t="s">
        <v>3</v>
      </c>
      <c r="EA147" t="s">
        <v>3</v>
      </c>
      <c r="EB147" t="s">
        <v>3</v>
      </c>
      <c r="EC147" t="s">
        <v>3</v>
      </c>
      <c r="EE147">
        <v>1441815344</v>
      </c>
      <c r="EF147">
        <v>1</v>
      </c>
      <c r="EG147" t="s">
        <v>21</v>
      </c>
      <c r="EH147">
        <v>0</v>
      </c>
      <c r="EI147" t="s">
        <v>3</v>
      </c>
      <c r="EJ147">
        <v>4</v>
      </c>
      <c r="EK147">
        <v>0</v>
      </c>
      <c r="EL147" t="s">
        <v>22</v>
      </c>
      <c r="EM147" t="s">
        <v>23</v>
      </c>
      <c r="EO147" t="s">
        <v>3</v>
      </c>
      <c r="EQ147">
        <v>1024</v>
      </c>
      <c r="ER147">
        <v>176.66</v>
      </c>
      <c r="ES147">
        <v>0</v>
      </c>
      <c r="ET147">
        <v>0</v>
      </c>
      <c r="EU147">
        <v>0</v>
      </c>
      <c r="EV147">
        <v>176.66</v>
      </c>
      <c r="EW147">
        <v>0.33</v>
      </c>
      <c r="EX147">
        <v>0</v>
      </c>
      <c r="EY147">
        <v>0</v>
      </c>
      <c r="FQ147">
        <v>0</v>
      </c>
      <c r="FR147">
        <f t="shared" si="141"/>
        <v>0</v>
      </c>
      <c r="FS147">
        <v>0</v>
      </c>
      <c r="FX147">
        <v>70</v>
      </c>
      <c r="FY147">
        <v>10</v>
      </c>
      <c r="GA147" t="s">
        <v>3</v>
      </c>
      <c r="GD147">
        <v>0</v>
      </c>
      <c r="GF147">
        <v>-89122687</v>
      </c>
      <c r="GG147">
        <v>2</v>
      </c>
      <c r="GH147">
        <v>1</v>
      </c>
      <c r="GI147">
        <v>-2</v>
      </c>
      <c r="GJ147">
        <v>0</v>
      </c>
      <c r="GK147">
        <f>ROUND(R147*(R12)/100,2)</f>
        <v>0</v>
      </c>
      <c r="GL147">
        <f t="shared" si="142"/>
        <v>0</v>
      </c>
      <c r="GM147">
        <f t="shared" si="143"/>
        <v>238.5</v>
      </c>
      <c r="GN147">
        <f t="shared" si="144"/>
        <v>0</v>
      </c>
      <c r="GO147">
        <f t="shared" si="145"/>
        <v>0</v>
      </c>
      <c r="GP147">
        <f t="shared" si="146"/>
        <v>238.5</v>
      </c>
      <c r="GR147">
        <v>0</v>
      </c>
      <c r="GS147">
        <v>3</v>
      </c>
      <c r="GT147">
        <v>0</v>
      </c>
      <c r="GU147" t="s">
        <v>3</v>
      </c>
      <c r="GV147">
        <f t="shared" si="147"/>
        <v>0</v>
      </c>
      <c r="GW147">
        <v>1</v>
      </c>
      <c r="GX147">
        <f t="shared" si="148"/>
        <v>0</v>
      </c>
      <c r="HA147">
        <v>0</v>
      </c>
      <c r="HB147">
        <v>0</v>
      </c>
      <c r="HC147">
        <f t="shared" si="149"/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IK147">
        <v>0</v>
      </c>
    </row>
    <row r="149" spans="1:245" x14ac:dyDescent="0.2">
      <c r="A149" s="2">
        <v>51</v>
      </c>
      <c r="B149" s="2">
        <f>B122</f>
        <v>1</v>
      </c>
      <c r="C149" s="2">
        <f>A122</f>
        <v>5</v>
      </c>
      <c r="D149" s="2">
        <f>ROW(A122)</f>
        <v>122</v>
      </c>
      <c r="E149" s="2"/>
      <c r="F149" s="2" t="str">
        <f>IF(F122&lt;&gt;"",F122,"")</f>
        <v>Новый подраздел</v>
      </c>
      <c r="G149" s="2" t="str">
        <f>IF(G122&lt;&gt;"",G122,"")</f>
        <v>Электрооборудование каждого модуля</v>
      </c>
      <c r="H149" s="2">
        <v>0</v>
      </c>
      <c r="I149" s="2"/>
      <c r="J149" s="2"/>
      <c r="K149" s="2"/>
      <c r="L149" s="2"/>
      <c r="M149" s="2"/>
      <c r="N149" s="2"/>
      <c r="O149" s="2">
        <f t="shared" ref="O149:T149" si="152">ROUND(AB149,2)</f>
        <v>360727.14</v>
      </c>
      <c r="P149" s="2">
        <f t="shared" si="152"/>
        <v>3917.64</v>
      </c>
      <c r="Q149" s="2">
        <f t="shared" si="152"/>
        <v>2202.86</v>
      </c>
      <c r="R149" s="2">
        <f t="shared" si="152"/>
        <v>1388.02</v>
      </c>
      <c r="S149" s="2">
        <f t="shared" si="152"/>
        <v>354606.64</v>
      </c>
      <c r="T149" s="2">
        <f t="shared" si="152"/>
        <v>0</v>
      </c>
      <c r="U149" s="2">
        <f>AH149</f>
        <v>586.72799999999995</v>
      </c>
      <c r="V149" s="2">
        <f>AI149</f>
        <v>0</v>
      </c>
      <c r="W149" s="2">
        <f>ROUND(AJ149,2)</f>
        <v>0</v>
      </c>
      <c r="X149" s="2">
        <f>ROUND(AK149,2)</f>
        <v>248224.65</v>
      </c>
      <c r="Y149" s="2">
        <f>ROUND(AL149,2)</f>
        <v>35460.68</v>
      </c>
      <c r="Z149" s="2"/>
      <c r="AA149" s="2"/>
      <c r="AB149" s="2">
        <f>ROUND(SUMIF(AA126:AA147,"=1471531721",O126:O147),2)</f>
        <v>360727.14</v>
      </c>
      <c r="AC149" s="2">
        <f>ROUND(SUMIF(AA126:AA147,"=1471531721",P126:P147),2)</f>
        <v>3917.64</v>
      </c>
      <c r="AD149" s="2">
        <f>ROUND(SUMIF(AA126:AA147,"=1471531721",Q126:Q147),2)</f>
        <v>2202.86</v>
      </c>
      <c r="AE149" s="2">
        <f>ROUND(SUMIF(AA126:AA147,"=1471531721",R126:R147),2)</f>
        <v>1388.02</v>
      </c>
      <c r="AF149" s="2">
        <f>ROUND(SUMIF(AA126:AA147,"=1471531721",S126:S147),2)</f>
        <v>354606.64</v>
      </c>
      <c r="AG149" s="2">
        <f>ROUND(SUMIF(AA126:AA147,"=1471531721",T126:T147),2)</f>
        <v>0</v>
      </c>
      <c r="AH149" s="2">
        <f>SUMIF(AA126:AA147,"=1471531721",U126:U147)</f>
        <v>586.72799999999995</v>
      </c>
      <c r="AI149" s="2">
        <f>SUMIF(AA126:AA147,"=1471531721",V126:V147)</f>
        <v>0</v>
      </c>
      <c r="AJ149" s="2">
        <f>ROUND(SUMIF(AA126:AA147,"=1471531721",W126:W147),2)</f>
        <v>0</v>
      </c>
      <c r="AK149" s="2">
        <f>ROUND(SUMIF(AA126:AA147,"=1471531721",X126:X147),2)</f>
        <v>248224.65</v>
      </c>
      <c r="AL149" s="2">
        <f>ROUND(SUMIF(AA126:AA147,"=1471531721",Y126:Y147),2)</f>
        <v>35460.68</v>
      </c>
      <c r="AM149" s="2"/>
      <c r="AN149" s="2"/>
      <c r="AO149" s="2">
        <f t="shared" ref="AO149:BD149" si="153">ROUND(BX149,2)</f>
        <v>0</v>
      </c>
      <c r="AP149" s="2">
        <f t="shared" si="153"/>
        <v>0</v>
      </c>
      <c r="AQ149" s="2">
        <f t="shared" si="153"/>
        <v>0</v>
      </c>
      <c r="AR149" s="2">
        <f t="shared" si="153"/>
        <v>645911.53</v>
      </c>
      <c r="AS149" s="2">
        <f t="shared" si="153"/>
        <v>0</v>
      </c>
      <c r="AT149" s="2">
        <f t="shared" si="153"/>
        <v>0</v>
      </c>
      <c r="AU149" s="2">
        <f t="shared" si="153"/>
        <v>645911.53</v>
      </c>
      <c r="AV149" s="2">
        <f t="shared" si="153"/>
        <v>3917.64</v>
      </c>
      <c r="AW149" s="2">
        <f t="shared" si="153"/>
        <v>3917.64</v>
      </c>
      <c r="AX149" s="2">
        <f t="shared" si="153"/>
        <v>0</v>
      </c>
      <c r="AY149" s="2">
        <f t="shared" si="153"/>
        <v>3917.64</v>
      </c>
      <c r="AZ149" s="2">
        <f t="shared" si="153"/>
        <v>0</v>
      </c>
      <c r="BA149" s="2">
        <f t="shared" si="153"/>
        <v>0</v>
      </c>
      <c r="BB149" s="2">
        <f t="shared" si="153"/>
        <v>0</v>
      </c>
      <c r="BC149" s="2">
        <f t="shared" si="153"/>
        <v>0</v>
      </c>
      <c r="BD149" s="2">
        <f t="shared" si="153"/>
        <v>0</v>
      </c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>
        <f>ROUND(SUMIF(AA126:AA147,"=1471531721",FQ126:FQ147),2)</f>
        <v>0</v>
      </c>
      <c r="BY149" s="2">
        <f>ROUND(SUMIF(AA126:AA147,"=1471531721",FR126:FR147),2)</f>
        <v>0</v>
      </c>
      <c r="BZ149" s="2">
        <f>ROUND(SUMIF(AA126:AA147,"=1471531721",GL126:GL147),2)</f>
        <v>0</v>
      </c>
      <c r="CA149" s="2">
        <f>ROUND(SUMIF(AA126:AA147,"=1471531721",GM126:GM147),2)</f>
        <v>645911.53</v>
      </c>
      <c r="CB149" s="2">
        <f>ROUND(SUMIF(AA126:AA147,"=1471531721",GN126:GN147),2)</f>
        <v>0</v>
      </c>
      <c r="CC149" s="2">
        <f>ROUND(SUMIF(AA126:AA147,"=1471531721",GO126:GO147),2)</f>
        <v>0</v>
      </c>
      <c r="CD149" s="2">
        <f>ROUND(SUMIF(AA126:AA147,"=1471531721",GP126:GP147),2)</f>
        <v>645911.53</v>
      </c>
      <c r="CE149" s="2">
        <f>AC149-BX149</f>
        <v>3917.64</v>
      </c>
      <c r="CF149" s="2">
        <f>AC149-BY149</f>
        <v>3917.64</v>
      </c>
      <c r="CG149" s="2">
        <f>BX149-BZ149</f>
        <v>0</v>
      </c>
      <c r="CH149" s="2">
        <f>AC149-BX149-BY149+BZ149</f>
        <v>3917.64</v>
      </c>
      <c r="CI149" s="2">
        <f>BY149-BZ149</f>
        <v>0</v>
      </c>
      <c r="CJ149" s="2">
        <f>ROUND(SUMIF(AA126:AA147,"=1471531721",GX126:GX147),2)</f>
        <v>0</v>
      </c>
      <c r="CK149" s="2">
        <f>ROUND(SUMIF(AA126:AA147,"=1471531721",GY126:GY147),2)</f>
        <v>0</v>
      </c>
      <c r="CL149" s="2">
        <f>ROUND(SUMIF(AA126:AA147,"=1471531721",GZ126:GZ147),2)</f>
        <v>0</v>
      </c>
      <c r="CM149" s="2">
        <f>ROUND(SUMIF(AA126:AA147,"=1471531721",HD126:HD147),2)</f>
        <v>0</v>
      </c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>
        <v>0</v>
      </c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201</v>
      </c>
      <c r="F151" s="4">
        <f>ROUND(Source!O149,O151)</f>
        <v>360727.14</v>
      </c>
      <c r="G151" s="4" t="s">
        <v>86</v>
      </c>
      <c r="H151" s="4" t="s">
        <v>87</v>
      </c>
      <c r="I151" s="4"/>
      <c r="J151" s="4"/>
      <c r="K151" s="4">
        <v>201</v>
      </c>
      <c r="L151" s="4">
        <v>1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13787.93</v>
      </c>
      <c r="X151" s="4">
        <v>1</v>
      </c>
      <c r="Y151" s="4">
        <v>13787.93</v>
      </c>
      <c r="Z151" s="4"/>
      <c r="AA151" s="4"/>
      <c r="AB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202</v>
      </c>
      <c r="F152" s="4">
        <f>ROUND(Source!P149,O152)</f>
        <v>3917.64</v>
      </c>
      <c r="G152" s="4" t="s">
        <v>88</v>
      </c>
      <c r="H152" s="4" t="s">
        <v>89</v>
      </c>
      <c r="I152" s="4"/>
      <c r="J152" s="4"/>
      <c r="K152" s="4">
        <v>202</v>
      </c>
      <c r="L152" s="4">
        <v>2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123.09</v>
      </c>
      <c r="X152" s="4">
        <v>1</v>
      </c>
      <c r="Y152" s="4">
        <v>123.09</v>
      </c>
      <c r="Z152" s="4"/>
      <c r="AA152" s="4"/>
      <c r="AB152" s="4"/>
    </row>
    <row r="153" spans="1:245" x14ac:dyDescent="0.2">
      <c r="A153" s="4">
        <v>50</v>
      </c>
      <c r="B153" s="4">
        <v>0</v>
      </c>
      <c r="C153" s="4">
        <v>0</v>
      </c>
      <c r="D153" s="4">
        <v>1</v>
      </c>
      <c r="E153" s="4">
        <v>222</v>
      </c>
      <c r="F153" s="4">
        <f>ROUND(Source!AO149,O153)</f>
        <v>0</v>
      </c>
      <c r="G153" s="4" t="s">
        <v>90</v>
      </c>
      <c r="H153" s="4" t="s">
        <v>91</v>
      </c>
      <c r="I153" s="4"/>
      <c r="J153" s="4"/>
      <c r="K153" s="4">
        <v>222</v>
      </c>
      <c r="L153" s="4">
        <v>3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225</v>
      </c>
      <c r="F154" s="4">
        <f>ROUND(Source!AV149,O154)</f>
        <v>3917.64</v>
      </c>
      <c r="G154" s="4" t="s">
        <v>92</v>
      </c>
      <c r="H154" s="4" t="s">
        <v>93</v>
      </c>
      <c r="I154" s="4"/>
      <c r="J154" s="4"/>
      <c r="K154" s="4">
        <v>225</v>
      </c>
      <c r="L154" s="4">
        <v>4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123.09</v>
      </c>
      <c r="X154" s="4">
        <v>1</v>
      </c>
      <c r="Y154" s="4">
        <v>123.09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226</v>
      </c>
      <c r="F155" s="4">
        <f>ROUND(Source!AW149,O155)</f>
        <v>3917.64</v>
      </c>
      <c r="G155" s="4" t="s">
        <v>94</v>
      </c>
      <c r="H155" s="4" t="s">
        <v>95</v>
      </c>
      <c r="I155" s="4"/>
      <c r="J155" s="4"/>
      <c r="K155" s="4">
        <v>226</v>
      </c>
      <c r="L155" s="4">
        <v>5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123.09</v>
      </c>
      <c r="X155" s="4">
        <v>1</v>
      </c>
      <c r="Y155" s="4">
        <v>123.09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227</v>
      </c>
      <c r="F156" s="4">
        <f>ROUND(Source!AX149,O156)</f>
        <v>0</v>
      </c>
      <c r="G156" s="4" t="s">
        <v>96</v>
      </c>
      <c r="H156" s="4" t="s">
        <v>97</v>
      </c>
      <c r="I156" s="4"/>
      <c r="J156" s="4"/>
      <c r="K156" s="4">
        <v>227</v>
      </c>
      <c r="L156" s="4">
        <v>6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228</v>
      </c>
      <c r="F157" s="4">
        <f>ROUND(Source!AY149,O157)</f>
        <v>3917.64</v>
      </c>
      <c r="G157" s="4" t="s">
        <v>98</v>
      </c>
      <c r="H157" s="4" t="s">
        <v>99</v>
      </c>
      <c r="I157" s="4"/>
      <c r="J157" s="4"/>
      <c r="K157" s="4">
        <v>228</v>
      </c>
      <c r="L157" s="4">
        <v>7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123.09</v>
      </c>
      <c r="X157" s="4">
        <v>1</v>
      </c>
      <c r="Y157" s="4">
        <v>123.09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216</v>
      </c>
      <c r="F158" s="4">
        <f>ROUND(Source!AP149,O158)</f>
        <v>0</v>
      </c>
      <c r="G158" s="4" t="s">
        <v>100</v>
      </c>
      <c r="H158" s="4" t="s">
        <v>101</v>
      </c>
      <c r="I158" s="4"/>
      <c r="J158" s="4"/>
      <c r="K158" s="4">
        <v>216</v>
      </c>
      <c r="L158" s="4">
        <v>8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223</v>
      </c>
      <c r="F159" s="4">
        <f>ROUND(Source!AQ149,O159)</f>
        <v>0</v>
      </c>
      <c r="G159" s="4" t="s">
        <v>102</v>
      </c>
      <c r="H159" s="4" t="s">
        <v>103</v>
      </c>
      <c r="I159" s="4"/>
      <c r="J159" s="4"/>
      <c r="K159" s="4">
        <v>223</v>
      </c>
      <c r="L159" s="4">
        <v>9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229</v>
      </c>
      <c r="F160" s="4">
        <f>ROUND(Source!AZ149,O160)</f>
        <v>0</v>
      </c>
      <c r="G160" s="4" t="s">
        <v>104</v>
      </c>
      <c r="H160" s="4" t="s">
        <v>105</v>
      </c>
      <c r="I160" s="4"/>
      <c r="J160" s="4"/>
      <c r="K160" s="4">
        <v>229</v>
      </c>
      <c r="L160" s="4">
        <v>10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203</v>
      </c>
      <c r="F161" s="4">
        <f>ROUND(Source!Q149,O161)</f>
        <v>2202.86</v>
      </c>
      <c r="G161" s="4" t="s">
        <v>106</v>
      </c>
      <c r="H161" s="4" t="s">
        <v>107</v>
      </c>
      <c r="I161" s="4"/>
      <c r="J161" s="4"/>
      <c r="K161" s="4">
        <v>203</v>
      </c>
      <c r="L161" s="4">
        <v>11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2189.06</v>
      </c>
      <c r="X161" s="4">
        <v>1</v>
      </c>
      <c r="Y161" s="4">
        <v>2189.06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231</v>
      </c>
      <c r="F162" s="4">
        <f>ROUND(Source!BB149,O162)</f>
        <v>0</v>
      </c>
      <c r="G162" s="4" t="s">
        <v>108</v>
      </c>
      <c r="H162" s="4" t="s">
        <v>109</v>
      </c>
      <c r="I162" s="4"/>
      <c r="J162" s="4"/>
      <c r="K162" s="4">
        <v>231</v>
      </c>
      <c r="L162" s="4">
        <v>12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204</v>
      </c>
      <c r="F163" s="4">
        <f>ROUND(Source!R149,O163)</f>
        <v>1388.02</v>
      </c>
      <c r="G163" s="4" t="s">
        <v>110</v>
      </c>
      <c r="H163" s="4" t="s">
        <v>111</v>
      </c>
      <c r="I163" s="4"/>
      <c r="J163" s="4"/>
      <c r="K163" s="4">
        <v>204</v>
      </c>
      <c r="L163" s="4">
        <v>13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1388.02</v>
      </c>
      <c r="X163" s="4">
        <v>1</v>
      </c>
      <c r="Y163" s="4">
        <v>1388.02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205</v>
      </c>
      <c r="F164" s="4">
        <f>ROUND(Source!S149,O164)</f>
        <v>354606.64</v>
      </c>
      <c r="G164" s="4" t="s">
        <v>112</v>
      </c>
      <c r="H164" s="4" t="s">
        <v>113</v>
      </c>
      <c r="I164" s="4"/>
      <c r="J164" s="4"/>
      <c r="K164" s="4">
        <v>205</v>
      </c>
      <c r="L164" s="4">
        <v>14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11475.78</v>
      </c>
      <c r="X164" s="4">
        <v>1</v>
      </c>
      <c r="Y164" s="4">
        <v>11475.78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232</v>
      </c>
      <c r="F165" s="4">
        <f>ROUND(Source!BC149,O165)</f>
        <v>0</v>
      </c>
      <c r="G165" s="4" t="s">
        <v>114</v>
      </c>
      <c r="H165" s="4" t="s">
        <v>115</v>
      </c>
      <c r="I165" s="4"/>
      <c r="J165" s="4"/>
      <c r="K165" s="4">
        <v>232</v>
      </c>
      <c r="L165" s="4">
        <v>15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214</v>
      </c>
      <c r="F166" s="4">
        <f>ROUND(Source!AS149,O166)</f>
        <v>0</v>
      </c>
      <c r="G166" s="4" t="s">
        <v>116</v>
      </c>
      <c r="H166" s="4" t="s">
        <v>117</v>
      </c>
      <c r="I166" s="4"/>
      <c r="J166" s="4"/>
      <c r="K166" s="4">
        <v>214</v>
      </c>
      <c r="L166" s="4">
        <v>16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215</v>
      </c>
      <c r="F167" s="4">
        <f>ROUND(Source!AT149,O167)</f>
        <v>0</v>
      </c>
      <c r="G167" s="4" t="s">
        <v>118</v>
      </c>
      <c r="H167" s="4" t="s">
        <v>119</v>
      </c>
      <c r="I167" s="4"/>
      <c r="J167" s="4"/>
      <c r="K167" s="4">
        <v>215</v>
      </c>
      <c r="L167" s="4">
        <v>17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217</v>
      </c>
      <c r="F168" s="4">
        <f>ROUND(Source!AU149,O168)</f>
        <v>645911.53</v>
      </c>
      <c r="G168" s="4" t="s">
        <v>120</v>
      </c>
      <c r="H168" s="4" t="s">
        <v>121</v>
      </c>
      <c r="I168" s="4"/>
      <c r="J168" s="4"/>
      <c r="K168" s="4">
        <v>217</v>
      </c>
      <c r="L168" s="4">
        <v>18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24467.62</v>
      </c>
      <c r="X168" s="4">
        <v>1</v>
      </c>
      <c r="Y168" s="4">
        <v>24467.62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230</v>
      </c>
      <c r="F169" s="4">
        <f>ROUND(Source!BA149,O169)</f>
        <v>0</v>
      </c>
      <c r="G169" s="4" t="s">
        <v>122</v>
      </c>
      <c r="H169" s="4" t="s">
        <v>123</v>
      </c>
      <c r="I169" s="4"/>
      <c r="J169" s="4"/>
      <c r="K169" s="4">
        <v>230</v>
      </c>
      <c r="L169" s="4">
        <v>19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206</v>
      </c>
      <c r="F170" s="4">
        <f>ROUND(Source!T149,O170)</f>
        <v>0</v>
      </c>
      <c r="G170" s="4" t="s">
        <v>124</v>
      </c>
      <c r="H170" s="4" t="s">
        <v>125</v>
      </c>
      <c r="I170" s="4"/>
      <c r="J170" s="4"/>
      <c r="K170" s="4">
        <v>206</v>
      </c>
      <c r="L170" s="4">
        <v>20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207</v>
      </c>
      <c r="F171" s="4">
        <f>Source!U149</f>
        <v>586.72799999999995</v>
      </c>
      <c r="G171" s="4" t="s">
        <v>126</v>
      </c>
      <c r="H171" s="4" t="s">
        <v>127</v>
      </c>
      <c r="I171" s="4"/>
      <c r="J171" s="4"/>
      <c r="K171" s="4">
        <v>207</v>
      </c>
      <c r="L171" s="4">
        <v>21</v>
      </c>
      <c r="M171" s="4">
        <v>3</v>
      </c>
      <c r="N171" s="4" t="s">
        <v>3</v>
      </c>
      <c r="O171" s="4">
        <v>-1</v>
      </c>
      <c r="P171" s="4"/>
      <c r="Q171" s="4"/>
      <c r="R171" s="4"/>
      <c r="S171" s="4"/>
      <c r="T171" s="4"/>
      <c r="U171" s="4"/>
      <c r="V171" s="4"/>
      <c r="W171" s="4">
        <v>20.94</v>
      </c>
      <c r="X171" s="4">
        <v>1</v>
      </c>
      <c r="Y171" s="4">
        <v>20.94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208</v>
      </c>
      <c r="F172" s="4">
        <f>Source!V149</f>
        <v>0</v>
      </c>
      <c r="G172" s="4" t="s">
        <v>128</v>
      </c>
      <c r="H172" s="4" t="s">
        <v>129</v>
      </c>
      <c r="I172" s="4"/>
      <c r="J172" s="4"/>
      <c r="K172" s="4">
        <v>208</v>
      </c>
      <c r="L172" s="4">
        <v>22</v>
      </c>
      <c r="M172" s="4">
        <v>3</v>
      </c>
      <c r="N172" s="4" t="s">
        <v>3</v>
      </c>
      <c r="O172" s="4">
        <v>-1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209</v>
      </c>
      <c r="F173" s="4">
        <f>ROUND(Source!W149,O173)</f>
        <v>0</v>
      </c>
      <c r="G173" s="4" t="s">
        <v>130</v>
      </c>
      <c r="H173" s="4" t="s">
        <v>131</v>
      </c>
      <c r="I173" s="4"/>
      <c r="J173" s="4"/>
      <c r="K173" s="4">
        <v>209</v>
      </c>
      <c r="L173" s="4">
        <v>23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233</v>
      </c>
      <c r="F174" s="4">
        <f>ROUND(Source!BD149,O174)</f>
        <v>0</v>
      </c>
      <c r="G174" s="4" t="s">
        <v>132</v>
      </c>
      <c r="H174" s="4" t="s">
        <v>133</v>
      </c>
      <c r="I174" s="4"/>
      <c r="J174" s="4"/>
      <c r="K174" s="4">
        <v>233</v>
      </c>
      <c r="L174" s="4">
        <v>24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210</v>
      </c>
      <c r="F175" s="4">
        <f>ROUND(Source!X149,O175)</f>
        <v>248224.65</v>
      </c>
      <c r="G175" s="4" t="s">
        <v>134</v>
      </c>
      <c r="H175" s="4" t="s">
        <v>135</v>
      </c>
      <c r="I175" s="4"/>
      <c r="J175" s="4"/>
      <c r="K175" s="4">
        <v>210</v>
      </c>
      <c r="L175" s="4">
        <v>25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8033.05</v>
      </c>
      <c r="X175" s="4">
        <v>1</v>
      </c>
      <c r="Y175" s="4">
        <v>8033.05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211</v>
      </c>
      <c r="F176" s="4">
        <f>ROUND(Source!Y149,O176)</f>
        <v>35460.68</v>
      </c>
      <c r="G176" s="4" t="s">
        <v>136</v>
      </c>
      <c r="H176" s="4" t="s">
        <v>137</v>
      </c>
      <c r="I176" s="4"/>
      <c r="J176" s="4"/>
      <c r="K176" s="4">
        <v>211</v>
      </c>
      <c r="L176" s="4">
        <v>26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1147.58</v>
      </c>
      <c r="X176" s="4">
        <v>1</v>
      </c>
      <c r="Y176" s="4">
        <v>1147.58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224</v>
      </c>
      <c r="F177" s="4">
        <f>ROUND(Source!AR149,O177)</f>
        <v>645911.53</v>
      </c>
      <c r="G177" s="4" t="s">
        <v>138</v>
      </c>
      <c r="H177" s="4" t="s">
        <v>139</v>
      </c>
      <c r="I177" s="4"/>
      <c r="J177" s="4"/>
      <c r="K177" s="4">
        <v>224</v>
      </c>
      <c r="L177" s="4">
        <v>27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24467.62</v>
      </c>
      <c r="X177" s="4">
        <v>1</v>
      </c>
      <c r="Y177" s="4">
        <v>24467.62</v>
      </c>
      <c r="Z177" s="4"/>
      <c r="AA177" s="4"/>
      <c r="AB177" s="4"/>
    </row>
    <row r="179" spans="1:206" x14ac:dyDescent="0.2">
      <c r="A179" s="2">
        <v>51</v>
      </c>
      <c r="B179" s="2">
        <f>B24</f>
        <v>1</v>
      </c>
      <c r="C179" s="2">
        <f>A24</f>
        <v>4</v>
      </c>
      <c r="D179" s="2">
        <f>ROW(A24)</f>
        <v>24</v>
      </c>
      <c r="E179" s="2"/>
      <c r="F179" s="2" t="str">
        <f>IF(F24&lt;&gt;"",F24,"")</f>
        <v>Новый раздел</v>
      </c>
      <c r="G179" s="2" t="str">
        <f>IF(G24&lt;&gt;"",G24,"")</f>
        <v>Туалетные модули 3 кабины в блоке. (15 модулей.)</v>
      </c>
      <c r="H179" s="2">
        <v>0</v>
      </c>
      <c r="I179" s="2"/>
      <c r="J179" s="2"/>
      <c r="K179" s="2"/>
      <c r="L179" s="2"/>
      <c r="M179" s="2"/>
      <c r="N179" s="2"/>
      <c r="O179" s="2">
        <f t="shared" ref="O179:T179" si="154">ROUND(O50+O92+O149+AB179,2)</f>
        <v>652875.99</v>
      </c>
      <c r="P179" s="2">
        <f t="shared" si="154"/>
        <v>92965.15</v>
      </c>
      <c r="Q179" s="2">
        <f t="shared" si="154"/>
        <v>30860.05</v>
      </c>
      <c r="R179" s="2">
        <f t="shared" si="154"/>
        <v>19288.46</v>
      </c>
      <c r="S179" s="2">
        <f t="shared" si="154"/>
        <v>529050.79</v>
      </c>
      <c r="T179" s="2">
        <f t="shared" si="154"/>
        <v>0</v>
      </c>
      <c r="U179" s="2">
        <f>U50+U92+U149+AH179</f>
        <v>884.44349999999997</v>
      </c>
      <c r="V179" s="2">
        <f>V50+V92+V149+AI179</f>
        <v>0</v>
      </c>
      <c r="W179" s="2">
        <f>ROUND(W50+W92+W149+AJ179,2)</f>
        <v>0</v>
      </c>
      <c r="X179" s="2">
        <f>ROUND(X50+X92+X149+AK179,2)</f>
        <v>370335.57</v>
      </c>
      <c r="Y179" s="2">
        <f>ROUND(Y50+Y92+Y149+AL179,2)</f>
        <v>52905.11</v>
      </c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>
        <f t="shared" ref="AO179:BD179" si="155">ROUND(AO50+AO92+AO149+BX179,2)</f>
        <v>0</v>
      </c>
      <c r="AP179" s="2">
        <f t="shared" si="155"/>
        <v>0</v>
      </c>
      <c r="AQ179" s="2">
        <f t="shared" si="155"/>
        <v>0</v>
      </c>
      <c r="AR179" s="2">
        <f t="shared" si="155"/>
        <v>1096948.21</v>
      </c>
      <c r="AS179" s="2">
        <f t="shared" si="155"/>
        <v>0</v>
      </c>
      <c r="AT179" s="2">
        <f t="shared" si="155"/>
        <v>0</v>
      </c>
      <c r="AU179" s="2">
        <f t="shared" si="155"/>
        <v>1096948.21</v>
      </c>
      <c r="AV179" s="2">
        <f t="shared" si="155"/>
        <v>92965.15</v>
      </c>
      <c r="AW179" s="2">
        <f t="shared" si="155"/>
        <v>92965.15</v>
      </c>
      <c r="AX179" s="2">
        <f t="shared" si="155"/>
        <v>0</v>
      </c>
      <c r="AY179" s="2">
        <f t="shared" si="155"/>
        <v>92965.15</v>
      </c>
      <c r="AZ179" s="2">
        <f t="shared" si="155"/>
        <v>0</v>
      </c>
      <c r="BA179" s="2">
        <f t="shared" si="155"/>
        <v>0</v>
      </c>
      <c r="BB179" s="2">
        <f t="shared" si="155"/>
        <v>0</v>
      </c>
      <c r="BC179" s="2">
        <f t="shared" si="155"/>
        <v>0</v>
      </c>
      <c r="BD179" s="2">
        <f t="shared" si="155"/>
        <v>0</v>
      </c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>
        <v>0</v>
      </c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201</v>
      </c>
      <c r="F181" s="4">
        <f>ROUND(Source!O179,O181)</f>
        <v>652875.99</v>
      </c>
      <c r="G181" s="4" t="s">
        <v>86</v>
      </c>
      <c r="H181" s="4" t="s">
        <v>87</v>
      </c>
      <c r="I181" s="4"/>
      <c r="J181" s="4"/>
      <c r="K181" s="4">
        <v>201</v>
      </c>
      <c r="L181" s="4">
        <v>1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567116.12</v>
      </c>
      <c r="X181" s="4">
        <v>1</v>
      </c>
      <c r="Y181" s="4">
        <v>567116.12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202</v>
      </c>
      <c r="F182" s="4">
        <f>ROUND(Source!P179,O182)</f>
        <v>92965.15</v>
      </c>
      <c r="G182" s="4" t="s">
        <v>88</v>
      </c>
      <c r="H182" s="4" t="s">
        <v>89</v>
      </c>
      <c r="I182" s="4"/>
      <c r="J182" s="4"/>
      <c r="K182" s="4">
        <v>202</v>
      </c>
      <c r="L182" s="4">
        <v>2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92156.64</v>
      </c>
      <c r="X182" s="4">
        <v>1</v>
      </c>
      <c r="Y182" s="4">
        <v>92156.64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222</v>
      </c>
      <c r="F183" s="4">
        <f>ROUND(Source!AO179,O183)</f>
        <v>0</v>
      </c>
      <c r="G183" s="4" t="s">
        <v>90</v>
      </c>
      <c r="H183" s="4" t="s">
        <v>91</v>
      </c>
      <c r="I183" s="4"/>
      <c r="J183" s="4"/>
      <c r="K183" s="4">
        <v>222</v>
      </c>
      <c r="L183" s="4">
        <v>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225</v>
      </c>
      <c r="F184" s="4">
        <f>ROUND(Source!AV179,O184)</f>
        <v>92965.15</v>
      </c>
      <c r="G184" s="4" t="s">
        <v>92</v>
      </c>
      <c r="H184" s="4" t="s">
        <v>93</v>
      </c>
      <c r="I184" s="4"/>
      <c r="J184" s="4"/>
      <c r="K184" s="4">
        <v>225</v>
      </c>
      <c r="L184" s="4">
        <v>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92156.64</v>
      </c>
      <c r="X184" s="4">
        <v>1</v>
      </c>
      <c r="Y184" s="4">
        <v>92156.64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226</v>
      </c>
      <c r="F185" s="4">
        <f>ROUND(Source!AW179,O185)</f>
        <v>92965.15</v>
      </c>
      <c r="G185" s="4" t="s">
        <v>94</v>
      </c>
      <c r="H185" s="4" t="s">
        <v>95</v>
      </c>
      <c r="I185" s="4"/>
      <c r="J185" s="4"/>
      <c r="K185" s="4">
        <v>226</v>
      </c>
      <c r="L185" s="4">
        <v>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92156.64</v>
      </c>
      <c r="X185" s="4">
        <v>1</v>
      </c>
      <c r="Y185" s="4">
        <v>92156.64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227</v>
      </c>
      <c r="F186" s="4">
        <f>ROUND(Source!AX179,O186)</f>
        <v>0</v>
      </c>
      <c r="G186" s="4" t="s">
        <v>96</v>
      </c>
      <c r="H186" s="4" t="s">
        <v>97</v>
      </c>
      <c r="I186" s="4"/>
      <c r="J186" s="4"/>
      <c r="K186" s="4">
        <v>227</v>
      </c>
      <c r="L186" s="4">
        <v>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228</v>
      </c>
      <c r="F187" s="4">
        <f>ROUND(Source!AY179,O187)</f>
        <v>92965.15</v>
      </c>
      <c r="G187" s="4" t="s">
        <v>98</v>
      </c>
      <c r="H187" s="4" t="s">
        <v>99</v>
      </c>
      <c r="I187" s="4"/>
      <c r="J187" s="4"/>
      <c r="K187" s="4">
        <v>228</v>
      </c>
      <c r="L187" s="4">
        <v>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92156.64</v>
      </c>
      <c r="X187" s="4">
        <v>1</v>
      </c>
      <c r="Y187" s="4">
        <v>92156.64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216</v>
      </c>
      <c r="F188" s="4">
        <f>ROUND(Source!AP179,O188)</f>
        <v>0</v>
      </c>
      <c r="G188" s="4" t="s">
        <v>100</v>
      </c>
      <c r="H188" s="4" t="s">
        <v>101</v>
      </c>
      <c r="I188" s="4"/>
      <c r="J188" s="4"/>
      <c r="K188" s="4">
        <v>216</v>
      </c>
      <c r="L188" s="4">
        <v>8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223</v>
      </c>
      <c r="F189" s="4">
        <f>ROUND(Source!AQ179,O189)</f>
        <v>0</v>
      </c>
      <c r="G189" s="4" t="s">
        <v>102</v>
      </c>
      <c r="H189" s="4" t="s">
        <v>103</v>
      </c>
      <c r="I189" s="4"/>
      <c r="J189" s="4"/>
      <c r="K189" s="4">
        <v>223</v>
      </c>
      <c r="L189" s="4">
        <v>9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229</v>
      </c>
      <c r="F190" s="4">
        <f>ROUND(Source!AZ179,O190)</f>
        <v>0</v>
      </c>
      <c r="G190" s="4" t="s">
        <v>104</v>
      </c>
      <c r="H190" s="4" t="s">
        <v>105</v>
      </c>
      <c r="I190" s="4"/>
      <c r="J190" s="4"/>
      <c r="K190" s="4">
        <v>229</v>
      </c>
      <c r="L190" s="4">
        <v>10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203</v>
      </c>
      <c r="F191" s="4">
        <f>ROUND(Source!Q179,O191)</f>
        <v>30860.05</v>
      </c>
      <c r="G191" s="4" t="s">
        <v>106</v>
      </c>
      <c r="H191" s="4" t="s">
        <v>107</v>
      </c>
      <c r="I191" s="4"/>
      <c r="J191" s="4"/>
      <c r="K191" s="4">
        <v>203</v>
      </c>
      <c r="L191" s="4">
        <v>11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27286.31</v>
      </c>
      <c r="X191" s="4">
        <v>1</v>
      </c>
      <c r="Y191" s="4">
        <v>27286.31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231</v>
      </c>
      <c r="F192" s="4">
        <f>ROUND(Source!BB179,O192)</f>
        <v>0</v>
      </c>
      <c r="G192" s="4" t="s">
        <v>108</v>
      </c>
      <c r="H192" s="4" t="s">
        <v>109</v>
      </c>
      <c r="I192" s="4"/>
      <c r="J192" s="4"/>
      <c r="K192" s="4">
        <v>231</v>
      </c>
      <c r="L192" s="4">
        <v>12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204</v>
      </c>
      <c r="F193" s="4">
        <f>ROUND(Source!R179,O193)</f>
        <v>19288.46</v>
      </c>
      <c r="G193" s="4" t="s">
        <v>110</v>
      </c>
      <c r="H193" s="4" t="s">
        <v>111</v>
      </c>
      <c r="I193" s="4"/>
      <c r="J193" s="4"/>
      <c r="K193" s="4">
        <v>204</v>
      </c>
      <c r="L193" s="4">
        <v>13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17057.169999999998</v>
      </c>
      <c r="X193" s="4">
        <v>1</v>
      </c>
      <c r="Y193" s="4">
        <v>17057.169999999998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205</v>
      </c>
      <c r="F194" s="4">
        <f>ROUND(Source!S179,O194)</f>
        <v>529050.79</v>
      </c>
      <c r="G194" s="4" t="s">
        <v>112</v>
      </c>
      <c r="H194" s="4" t="s">
        <v>113</v>
      </c>
      <c r="I194" s="4"/>
      <c r="J194" s="4"/>
      <c r="K194" s="4">
        <v>205</v>
      </c>
      <c r="L194" s="4">
        <v>14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447673.17</v>
      </c>
      <c r="X194" s="4">
        <v>1</v>
      </c>
      <c r="Y194" s="4">
        <v>447673.17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232</v>
      </c>
      <c r="F195" s="4">
        <f>ROUND(Source!BC179,O195)</f>
        <v>0</v>
      </c>
      <c r="G195" s="4" t="s">
        <v>114</v>
      </c>
      <c r="H195" s="4" t="s">
        <v>115</v>
      </c>
      <c r="I195" s="4"/>
      <c r="J195" s="4"/>
      <c r="K195" s="4">
        <v>232</v>
      </c>
      <c r="L195" s="4">
        <v>15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214</v>
      </c>
      <c r="F196" s="4">
        <f>ROUND(Source!AS179,O196)</f>
        <v>0</v>
      </c>
      <c r="G196" s="4" t="s">
        <v>116</v>
      </c>
      <c r="H196" s="4" t="s">
        <v>117</v>
      </c>
      <c r="I196" s="4"/>
      <c r="J196" s="4"/>
      <c r="K196" s="4">
        <v>214</v>
      </c>
      <c r="L196" s="4">
        <v>16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215</v>
      </c>
      <c r="F197" s="4">
        <f>ROUND(Source!AT179,O197)</f>
        <v>0</v>
      </c>
      <c r="G197" s="4" t="s">
        <v>118</v>
      </c>
      <c r="H197" s="4" t="s">
        <v>119</v>
      </c>
      <c r="I197" s="4"/>
      <c r="J197" s="4"/>
      <c r="K197" s="4">
        <v>215</v>
      </c>
      <c r="L197" s="4">
        <v>17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217</v>
      </c>
      <c r="F198" s="4">
        <f>ROUND(Source!AU179,O198)</f>
        <v>1096948.21</v>
      </c>
      <c r="G198" s="4" t="s">
        <v>120</v>
      </c>
      <c r="H198" s="4" t="s">
        <v>121</v>
      </c>
      <c r="I198" s="4"/>
      <c r="J198" s="4"/>
      <c r="K198" s="4">
        <v>217</v>
      </c>
      <c r="L198" s="4">
        <v>18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943676.43</v>
      </c>
      <c r="X198" s="4">
        <v>1</v>
      </c>
      <c r="Y198" s="4">
        <v>943676.43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230</v>
      </c>
      <c r="F199" s="4">
        <f>ROUND(Source!BA179,O199)</f>
        <v>0</v>
      </c>
      <c r="G199" s="4" t="s">
        <v>122</v>
      </c>
      <c r="H199" s="4" t="s">
        <v>123</v>
      </c>
      <c r="I199" s="4"/>
      <c r="J199" s="4"/>
      <c r="K199" s="4">
        <v>230</v>
      </c>
      <c r="L199" s="4">
        <v>19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206</v>
      </c>
      <c r="F200" s="4">
        <f>ROUND(Source!T179,O200)</f>
        <v>0</v>
      </c>
      <c r="G200" s="4" t="s">
        <v>124</v>
      </c>
      <c r="H200" s="4" t="s">
        <v>125</v>
      </c>
      <c r="I200" s="4"/>
      <c r="J200" s="4"/>
      <c r="K200" s="4">
        <v>206</v>
      </c>
      <c r="L200" s="4">
        <v>20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207</v>
      </c>
      <c r="F201" s="4">
        <f>Source!U179</f>
        <v>884.44349999999997</v>
      </c>
      <c r="G201" s="4" t="s">
        <v>126</v>
      </c>
      <c r="H201" s="4" t="s">
        <v>127</v>
      </c>
      <c r="I201" s="4"/>
      <c r="J201" s="4"/>
      <c r="K201" s="4">
        <v>207</v>
      </c>
      <c r="L201" s="4">
        <v>21</v>
      </c>
      <c r="M201" s="4">
        <v>3</v>
      </c>
      <c r="N201" s="4" t="s">
        <v>3</v>
      </c>
      <c r="O201" s="4">
        <v>-1</v>
      </c>
      <c r="P201" s="4"/>
      <c r="Q201" s="4"/>
      <c r="R201" s="4"/>
      <c r="S201" s="4"/>
      <c r="T201" s="4"/>
      <c r="U201" s="4"/>
      <c r="V201" s="4"/>
      <c r="W201" s="4">
        <v>727.803</v>
      </c>
      <c r="X201" s="4">
        <v>1</v>
      </c>
      <c r="Y201" s="4">
        <v>727.803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208</v>
      </c>
      <c r="F202" s="4">
        <f>Source!V179</f>
        <v>0</v>
      </c>
      <c r="G202" s="4" t="s">
        <v>128</v>
      </c>
      <c r="H202" s="4" t="s">
        <v>129</v>
      </c>
      <c r="I202" s="4"/>
      <c r="J202" s="4"/>
      <c r="K202" s="4">
        <v>208</v>
      </c>
      <c r="L202" s="4">
        <v>22</v>
      </c>
      <c r="M202" s="4">
        <v>3</v>
      </c>
      <c r="N202" s="4" t="s">
        <v>3</v>
      </c>
      <c r="O202" s="4">
        <v>-1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209</v>
      </c>
      <c r="F203" s="4">
        <f>ROUND(Source!W179,O203)</f>
        <v>0</v>
      </c>
      <c r="G203" s="4" t="s">
        <v>130</v>
      </c>
      <c r="H203" s="4" t="s">
        <v>131</v>
      </c>
      <c r="I203" s="4"/>
      <c r="J203" s="4"/>
      <c r="K203" s="4">
        <v>209</v>
      </c>
      <c r="L203" s="4">
        <v>23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233</v>
      </c>
      <c r="F204" s="4">
        <f>ROUND(Source!BD179,O204)</f>
        <v>0</v>
      </c>
      <c r="G204" s="4" t="s">
        <v>132</v>
      </c>
      <c r="H204" s="4" t="s">
        <v>133</v>
      </c>
      <c r="I204" s="4"/>
      <c r="J204" s="4"/>
      <c r="K204" s="4">
        <v>233</v>
      </c>
      <c r="L204" s="4">
        <v>24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210</v>
      </c>
      <c r="F205" s="4">
        <f>ROUND(Source!X179,O205)</f>
        <v>370335.57</v>
      </c>
      <c r="G205" s="4" t="s">
        <v>134</v>
      </c>
      <c r="H205" s="4" t="s">
        <v>135</v>
      </c>
      <c r="I205" s="4"/>
      <c r="J205" s="4"/>
      <c r="K205" s="4">
        <v>210</v>
      </c>
      <c r="L205" s="4">
        <v>25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313371.23</v>
      </c>
      <c r="X205" s="4">
        <v>1</v>
      </c>
      <c r="Y205" s="4">
        <v>313371.23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211</v>
      </c>
      <c r="F206" s="4">
        <f>ROUND(Source!Y179,O206)</f>
        <v>52905.11</v>
      </c>
      <c r="G206" s="4" t="s">
        <v>136</v>
      </c>
      <c r="H206" s="4" t="s">
        <v>137</v>
      </c>
      <c r="I206" s="4"/>
      <c r="J206" s="4"/>
      <c r="K206" s="4">
        <v>211</v>
      </c>
      <c r="L206" s="4">
        <v>26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44767.34</v>
      </c>
      <c r="X206" s="4">
        <v>1</v>
      </c>
      <c r="Y206" s="4">
        <v>44767.34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224</v>
      </c>
      <c r="F207" s="4">
        <f>ROUND(Source!AR179,O207)</f>
        <v>1096948.21</v>
      </c>
      <c r="G207" s="4" t="s">
        <v>138</v>
      </c>
      <c r="H207" s="4" t="s">
        <v>139</v>
      </c>
      <c r="I207" s="4"/>
      <c r="J207" s="4"/>
      <c r="K207" s="4">
        <v>224</v>
      </c>
      <c r="L207" s="4">
        <v>27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943676.43</v>
      </c>
      <c r="X207" s="4">
        <v>1</v>
      </c>
      <c r="Y207" s="4">
        <v>943676.43</v>
      </c>
      <c r="Z207" s="4"/>
      <c r="AA207" s="4"/>
      <c r="AB207" s="4"/>
    </row>
    <row r="209" spans="1:245" x14ac:dyDescent="0.2">
      <c r="A209" s="1">
        <v>4</v>
      </c>
      <c r="B209" s="1">
        <v>1</v>
      </c>
      <c r="C209" s="1"/>
      <c r="D209" s="1">
        <f>ROW(A369)</f>
        <v>369</v>
      </c>
      <c r="E209" s="1"/>
      <c r="F209" s="1" t="s">
        <v>12</v>
      </c>
      <c r="G209" s="1" t="s">
        <v>245</v>
      </c>
      <c r="H209" s="1" t="s">
        <v>3</v>
      </c>
      <c r="I209" s="1">
        <v>0</v>
      </c>
      <c r="J209" s="1"/>
      <c r="K209" s="1">
        <v>0</v>
      </c>
      <c r="L209" s="1"/>
      <c r="M209" s="1" t="s">
        <v>3</v>
      </c>
      <c r="N209" s="1"/>
      <c r="O209" s="1"/>
      <c r="P209" s="1"/>
      <c r="Q209" s="1"/>
      <c r="R209" s="1"/>
      <c r="S209" s="1">
        <v>0</v>
      </c>
      <c r="T209" s="1"/>
      <c r="U209" s="1" t="s">
        <v>3</v>
      </c>
      <c r="V209" s="1">
        <v>0</v>
      </c>
      <c r="W209" s="1"/>
      <c r="X209" s="1"/>
      <c r="Y209" s="1"/>
      <c r="Z209" s="1"/>
      <c r="AA209" s="1"/>
      <c r="AB209" s="1" t="s">
        <v>3</v>
      </c>
      <c r="AC209" s="1" t="s">
        <v>3</v>
      </c>
      <c r="AD209" s="1" t="s">
        <v>3</v>
      </c>
      <c r="AE209" s="1" t="s">
        <v>3</v>
      </c>
      <c r="AF209" s="1" t="s">
        <v>3</v>
      </c>
      <c r="AG209" s="1" t="s">
        <v>3</v>
      </c>
      <c r="AH209" s="1"/>
      <c r="AI209" s="1"/>
      <c r="AJ209" s="1"/>
      <c r="AK209" s="1"/>
      <c r="AL209" s="1"/>
      <c r="AM209" s="1"/>
      <c r="AN209" s="1"/>
      <c r="AO209" s="1"/>
      <c r="AP209" s="1" t="s">
        <v>3</v>
      </c>
      <c r="AQ209" s="1" t="s">
        <v>3</v>
      </c>
      <c r="AR209" s="1" t="s">
        <v>3</v>
      </c>
      <c r="AS209" s="1"/>
      <c r="AT209" s="1"/>
      <c r="AU209" s="1"/>
      <c r="AV209" s="1"/>
      <c r="AW209" s="1"/>
      <c r="AX209" s="1"/>
      <c r="AY209" s="1"/>
      <c r="AZ209" s="1" t="s">
        <v>3</v>
      </c>
      <c r="BA209" s="1"/>
      <c r="BB209" s="1" t="s">
        <v>3</v>
      </c>
      <c r="BC209" s="1" t="s">
        <v>3</v>
      </c>
      <c r="BD209" s="1" t="s">
        <v>3</v>
      </c>
      <c r="BE209" s="1" t="s">
        <v>3</v>
      </c>
      <c r="BF209" s="1" t="s">
        <v>3</v>
      </c>
      <c r="BG209" s="1" t="s">
        <v>3</v>
      </c>
      <c r="BH209" s="1" t="s">
        <v>3</v>
      </c>
      <c r="BI209" s="1" t="s">
        <v>3</v>
      </c>
      <c r="BJ209" s="1" t="s">
        <v>3</v>
      </c>
      <c r="BK209" s="1" t="s">
        <v>3</v>
      </c>
      <c r="BL209" s="1" t="s">
        <v>3</v>
      </c>
      <c r="BM209" s="1" t="s">
        <v>3</v>
      </c>
      <c r="BN209" s="1" t="s">
        <v>3</v>
      </c>
      <c r="BO209" s="1" t="s">
        <v>3</v>
      </c>
      <c r="BP209" s="1" t="s">
        <v>3</v>
      </c>
      <c r="BQ209" s="1"/>
      <c r="BR209" s="1"/>
      <c r="BS209" s="1"/>
      <c r="BT209" s="1"/>
      <c r="BU209" s="1"/>
      <c r="BV209" s="1"/>
      <c r="BW209" s="1"/>
      <c r="BX209" s="1">
        <v>0</v>
      </c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>
        <v>0</v>
      </c>
    </row>
    <row r="211" spans="1:245" x14ac:dyDescent="0.2">
      <c r="A211" s="2">
        <v>52</v>
      </c>
      <c r="B211" s="2">
        <f t="shared" ref="B211:G211" si="156">B369</f>
        <v>1</v>
      </c>
      <c r="C211" s="2">
        <f t="shared" si="156"/>
        <v>4</v>
      </c>
      <c r="D211" s="2">
        <f t="shared" si="156"/>
        <v>209</v>
      </c>
      <c r="E211" s="2">
        <f t="shared" si="156"/>
        <v>0</v>
      </c>
      <c r="F211" s="2" t="str">
        <f t="shared" si="156"/>
        <v>Новый раздел</v>
      </c>
      <c r="G211" s="2" t="str">
        <f t="shared" si="156"/>
        <v>Туалетный модуль 2 кабины (4 шт.)</v>
      </c>
      <c r="H211" s="2"/>
      <c r="I211" s="2"/>
      <c r="J211" s="2"/>
      <c r="K211" s="2"/>
      <c r="L211" s="2"/>
      <c r="M211" s="2"/>
      <c r="N211" s="2"/>
      <c r="O211" s="2">
        <f t="shared" ref="O211:AT211" si="157">O369</f>
        <v>160938.01999999999</v>
      </c>
      <c r="P211" s="2">
        <f t="shared" si="157"/>
        <v>24612.28</v>
      </c>
      <c r="Q211" s="2">
        <f t="shared" si="157"/>
        <v>8415.82</v>
      </c>
      <c r="R211" s="2">
        <f t="shared" si="157"/>
        <v>5262.59</v>
      </c>
      <c r="S211" s="2">
        <f t="shared" si="157"/>
        <v>127909.92</v>
      </c>
      <c r="T211" s="2">
        <f t="shared" si="157"/>
        <v>0</v>
      </c>
      <c r="U211" s="2">
        <f t="shared" si="157"/>
        <v>212.2552</v>
      </c>
      <c r="V211" s="2">
        <f t="shared" si="157"/>
        <v>0</v>
      </c>
      <c r="W211" s="2">
        <f t="shared" si="157"/>
        <v>0</v>
      </c>
      <c r="X211" s="2">
        <f t="shared" si="157"/>
        <v>89536.94</v>
      </c>
      <c r="Y211" s="2">
        <f t="shared" si="157"/>
        <v>12791</v>
      </c>
      <c r="Z211" s="2">
        <f t="shared" si="157"/>
        <v>0</v>
      </c>
      <c r="AA211" s="2">
        <f t="shared" si="157"/>
        <v>0</v>
      </c>
      <c r="AB211" s="2">
        <f t="shared" si="157"/>
        <v>0</v>
      </c>
      <c r="AC211" s="2">
        <f t="shared" si="157"/>
        <v>0</v>
      </c>
      <c r="AD211" s="2">
        <f t="shared" si="157"/>
        <v>0</v>
      </c>
      <c r="AE211" s="2">
        <f t="shared" si="157"/>
        <v>0</v>
      </c>
      <c r="AF211" s="2">
        <f t="shared" si="157"/>
        <v>0</v>
      </c>
      <c r="AG211" s="2">
        <f t="shared" si="157"/>
        <v>0</v>
      </c>
      <c r="AH211" s="2">
        <f t="shared" si="157"/>
        <v>0</v>
      </c>
      <c r="AI211" s="2">
        <f t="shared" si="157"/>
        <v>0</v>
      </c>
      <c r="AJ211" s="2">
        <f t="shared" si="157"/>
        <v>0</v>
      </c>
      <c r="AK211" s="2">
        <f t="shared" si="157"/>
        <v>0</v>
      </c>
      <c r="AL211" s="2">
        <f t="shared" si="157"/>
        <v>0</v>
      </c>
      <c r="AM211" s="2">
        <f t="shared" si="157"/>
        <v>0</v>
      </c>
      <c r="AN211" s="2">
        <f t="shared" si="157"/>
        <v>0</v>
      </c>
      <c r="AO211" s="2">
        <f t="shared" si="157"/>
        <v>0</v>
      </c>
      <c r="AP211" s="2">
        <f t="shared" si="157"/>
        <v>0</v>
      </c>
      <c r="AQ211" s="2">
        <f t="shared" si="157"/>
        <v>0</v>
      </c>
      <c r="AR211" s="2">
        <f t="shared" si="157"/>
        <v>268949.53000000003</v>
      </c>
      <c r="AS211" s="2">
        <f t="shared" si="157"/>
        <v>0</v>
      </c>
      <c r="AT211" s="2">
        <f t="shared" si="157"/>
        <v>0</v>
      </c>
      <c r="AU211" s="2">
        <f t="shared" ref="AU211:BZ211" si="158">AU369</f>
        <v>268949.53000000003</v>
      </c>
      <c r="AV211" s="2">
        <f t="shared" si="158"/>
        <v>24612.28</v>
      </c>
      <c r="AW211" s="2">
        <f t="shared" si="158"/>
        <v>24612.28</v>
      </c>
      <c r="AX211" s="2">
        <f t="shared" si="158"/>
        <v>0</v>
      </c>
      <c r="AY211" s="2">
        <f t="shared" si="158"/>
        <v>24612.28</v>
      </c>
      <c r="AZ211" s="2">
        <f t="shared" si="158"/>
        <v>0</v>
      </c>
      <c r="BA211" s="2">
        <f t="shared" si="158"/>
        <v>0</v>
      </c>
      <c r="BB211" s="2">
        <f t="shared" si="158"/>
        <v>0</v>
      </c>
      <c r="BC211" s="2">
        <f t="shared" si="158"/>
        <v>0</v>
      </c>
      <c r="BD211" s="2">
        <f t="shared" si="158"/>
        <v>0</v>
      </c>
      <c r="BE211" s="2">
        <f t="shared" si="158"/>
        <v>0</v>
      </c>
      <c r="BF211" s="2">
        <f t="shared" si="158"/>
        <v>0</v>
      </c>
      <c r="BG211" s="2">
        <f t="shared" si="158"/>
        <v>0</v>
      </c>
      <c r="BH211" s="2">
        <f t="shared" si="158"/>
        <v>0</v>
      </c>
      <c r="BI211" s="2">
        <f t="shared" si="158"/>
        <v>0</v>
      </c>
      <c r="BJ211" s="2">
        <f t="shared" si="158"/>
        <v>0</v>
      </c>
      <c r="BK211" s="2">
        <f t="shared" si="158"/>
        <v>0</v>
      </c>
      <c r="BL211" s="2">
        <f t="shared" si="158"/>
        <v>0</v>
      </c>
      <c r="BM211" s="2">
        <f t="shared" si="158"/>
        <v>0</v>
      </c>
      <c r="BN211" s="2">
        <f t="shared" si="158"/>
        <v>0</v>
      </c>
      <c r="BO211" s="2">
        <f t="shared" si="158"/>
        <v>0</v>
      </c>
      <c r="BP211" s="2">
        <f t="shared" si="158"/>
        <v>0</v>
      </c>
      <c r="BQ211" s="2">
        <f t="shared" si="158"/>
        <v>0</v>
      </c>
      <c r="BR211" s="2">
        <f t="shared" si="158"/>
        <v>0</v>
      </c>
      <c r="BS211" s="2">
        <f t="shared" si="158"/>
        <v>0</v>
      </c>
      <c r="BT211" s="2">
        <f t="shared" si="158"/>
        <v>0</v>
      </c>
      <c r="BU211" s="2">
        <f t="shared" si="158"/>
        <v>0</v>
      </c>
      <c r="BV211" s="2">
        <f t="shared" si="158"/>
        <v>0</v>
      </c>
      <c r="BW211" s="2">
        <f t="shared" si="158"/>
        <v>0</v>
      </c>
      <c r="BX211" s="2">
        <f t="shared" si="158"/>
        <v>0</v>
      </c>
      <c r="BY211" s="2">
        <f t="shared" si="158"/>
        <v>0</v>
      </c>
      <c r="BZ211" s="2">
        <f t="shared" si="158"/>
        <v>0</v>
      </c>
      <c r="CA211" s="2">
        <f t="shared" ref="CA211:DF211" si="159">CA369</f>
        <v>0</v>
      </c>
      <c r="CB211" s="2">
        <f t="shared" si="159"/>
        <v>0</v>
      </c>
      <c r="CC211" s="2">
        <f t="shared" si="159"/>
        <v>0</v>
      </c>
      <c r="CD211" s="2">
        <f t="shared" si="159"/>
        <v>0</v>
      </c>
      <c r="CE211" s="2">
        <f t="shared" si="159"/>
        <v>0</v>
      </c>
      <c r="CF211" s="2">
        <f t="shared" si="159"/>
        <v>0</v>
      </c>
      <c r="CG211" s="2">
        <f t="shared" si="159"/>
        <v>0</v>
      </c>
      <c r="CH211" s="2">
        <f t="shared" si="159"/>
        <v>0</v>
      </c>
      <c r="CI211" s="2">
        <f t="shared" si="159"/>
        <v>0</v>
      </c>
      <c r="CJ211" s="2">
        <f t="shared" si="159"/>
        <v>0</v>
      </c>
      <c r="CK211" s="2">
        <f t="shared" si="159"/>
        <v>0</v>
      </c>
      <c r="CL211" s="2">
        <f t="shared" si="159"/>
        <v>0</v>
      </c>
      <c r="CM211" s="2">
        <f t="shared" si="159"/>
        <v>0</v>
      </c>
      <c r="CN211" s="2">
        <f t="shared" si="159"/>
        <v>0</v>
      </c>
      <c r="CO211" s="2">
        <f t="shared" si="159"/>
        <v>0</v>
      </c>
      <c r="CP211" s="2">
        <f t="shared" si="159"/>
        <v>0</v>
      </c>
      <c r="CQ211" s="2">
        <f t="shared" si="159"/>
        <v>0</v>
      </c>
      <c r="CR211" s="2">
        <f t="shared" si="159"/>
        <v>0</v>
      </c>
      <c r="CS211" s="2">
        <f t="shared" si="159"/>
        <v>0</v>
      </c>
      <c r="CT211" s="2">
        <f t="shared" si="159"/>
        <v>0</v>
      </c>
      <c r="CU211" s="2">
        <f t="shared" si="159"/>
        <v>0</v>
      </c>
      <c r="CV211" s="2">
        <f t="shared" si="159"/>
        <v>0</v>
      </c>
      <c r="CW211" s="2">
        <f t="shared" si="159"/>
        <v>0</v>
      </c>
      <c r="CX211" s="2">
        <f t="shared" si="159"/>
        <v>0</v>
      </c>
      <c r="CY211" s="2">
        <f t="shared" si="159"/>
        <v>0</v>
      </c>
      <c r="CZ211" s="2">
        <f t="shared" si="159"/>
        <v>0</v>
      </c>
      <c r="DA211" s="2">
        <f t="shared" si="159"/>
        <v>0</v>
      </c>
      <c r="DB211" s="2">
        <f t="shared" si="159"/>
        <v>0</v>
      </c>
      <c r="DC211" s="2">
        <f t="shared" si="159"/>
        <v>0</v>
      </c>
      <c r="DD211" s="2">
        <f t="shared" si="159"/>
        <v>0</v>
      </c>
      <c r="DE211" s="2">
        <f t="shared" si="159"/>
        <v>0</v>
      </c>
      <c r="DF211" s="2">
        <f t="shared" si="159"/>
        <v>0</v>
      </c>
      <c r="DG211" s="3">
        <f t="shared" ref="DG211:EL211" si="160">DG369</f>
        <v>0</v>
      </c>
      <c r="DH211" s="3">
        <f t="shared" si="160"/>
        <v>0</v>
      </c>
      <c r="DI211" s="3">
        <f t="shared" si="160"/>
        <v>0</v>
      </c>
      <c r="DJ211" s="3">
        <f t="shared" si="160"/>
        <v>0</v>
      </c>
      <c r="DK211" s="3">
        <f t="shared" si="160"/>
        <v>0</v>
      </c>
      <c r="DL211" s="3">
        <f t="shared" si="160"/>
        <v>0</v>
      </c>
      <c r="DM211" s="3">
        <f t="shared" si="160"/>
        <v>0</v>
      </c>
      <c r="DN211" s="3">
        <f t="shared" si="160"/>
        <v>0</v>
      </c>
      <c r="DO211" s="3">
        <f t="shared" si="160"/>
        <v>0</v>
      </c>
      <c r="DP211" s="3">
        <f t="shared" si="160"/>
        <v>0</v>
      </c>
      <c r="DQ211" s="3">
        <f t="shared" si="160"/>
        <v>0</v>
      </c>
      <c r="DR211" s="3">
        <f t="shared" si="160"/>
        <v>0</v>
      </c>
      <c r="DS211" s="3">
        <f t="shared" si="160"/>
        <v>0</v>
      </c>
      <c r="DT211" s="3">
        <f t="shared" si="160"/>
        <v>0</v>
      </c>
      <c r="DU211" s="3">
        <f t="shared" si="160"/>
        <v>0</v>
      </c>
      <c r="DV211" s="3">
        <f t="shared" si="160"/>
        <v>0</v>
      </c>
      <c r="DW211" s="3">
        <f t="shared" si="160"/>
        <v>0</v>
      </c>
      <c r="DX211" s="3">
        <f t="shared" si="160"/>
        <v>0</v>
      </c>
      <c r="DY211" s="3">
        <f t="shared" si="160"/>
        <v>0</v>
      </c>
      <c r="DZ211" s="3">
        <f t="shared" si="160"/>
        <v>0</v>
      </c>
      <c r="EA211" s="3">
        <f t="shared" si="160"/>
        <v>0</v>
      </c>
      <c r="EB211" s="3">
        <f t="shared" si="160"/>
        <v>0</v>
      </c>
      <c r="EC211" s="3">
        <f t="shared" si="160"/>
        <v>0</v>
      </c>
      <c r="ED211" s="3">
        <f t="shared" si="160"/>
        <v>0</v>
      </c>
      <c r="EE211" s="3">
        <f t="shared" si="160"/>
        <v>0</v>
      </c>
      <c r="EF211" s="3">
        <f t="shared" si="160"/>
        <v>0</v>
      </c>
      <c r="EG211" s="3">
        <f t="shared" si="160"/>
        <v>0</v>
      </c>
      <c r="EH211" s="3">
        <f t="shared" si="160"/>
        <v>0</v>
      </c>
      <c r="EI211" s="3">
        <f t="shared" si="160"/>
        <v>0</v>
      </c>
      <c r="EJ211" s="3">
        <f t="shared" si="160"/>
        <v>0</v>
      </c>
      <c r="EK211" s="3">
        <f t="shared" si="160"/>
        <v>0</v>
      </c>
      <c r="EL211" s="3">
        <f t="shared" si="160"/>
        <v>0</v>
      </c>
      <c r="EM211" s="3">
        <f t="shared" ref="EM211:FR211" si="161">EM369</f>
        <v>0</v>
      </c>
      <c r="EN211" s="3">
        <f t="shared" si="161"/>
        <v>0</v>
      </c>
      <c r="EO211" s="3">
        <f t="shared" si="161"/>
        <v>0</v>
      </c>
      <c r="EP211" s="3">
        <f t="shared" si="161"/>
        <v>0</v>
      </c>
      <c r="EQ211" s="3">
        <f t="shared" si="161"/>
        <v>0</v>
      </c>
      <c r="ER211" s="3">
        <f t="shared" si="161"/>
        <v>0</v>
      </c>
      <c r="ES211" s="3">
        <f t="shared" si="161"/>
        <v>0</v>
      </c>
      <c r="ET211" s="3">
        <f t="shared" si="161"/>
        <v>0</v>
      </c>
      <c r="EU211" s="3">
        <f t="shared" si="161"/>
        <v>0</v>
      </c>
      <c r="EV211" s="3">
        <f t="shared" si="161"/>
        <v>0</v>
      </c>
      <c r="EW211" s="3">
        <f t="shared" si="161"/>
        <v>0</v>
      </c>
      <c r="EX211" s="3">
        <f t="shared" si="161"/>
        <v>0</v>
      </c>
      <c r="EY211" s="3">
        <f t="shared" si="161"/>
        <v>0</v>
      </c>
      <c r="EZ211" s="3">
        <f t="shared" si="161"/>
        <v>0</v>
      </c>
      <c r="FA211" s="3">
        <f t="shared" si="161"/>
        <v>0</v>
      </c>
      <c r="FB211" s="3">
        <f t="shared" si="161"/>
        <v>0</v>
      </c>
      <c r="FC211" s="3">
        <f t="shared" si="161"/>
        <v>0</v>
      </c>
      <c r="FD211" s="3">
        <f t="shared" si="161"/>
        <v>0</v>
      </c>
      <c r="FE211" s="3">
        <f t="shared" si="161"/>
        <v>0</v>
      </c>
      <c r="FF211" s="3">
        <f t="shared" si="161"/>
        <v>0</v>
      </c>
      <c r="FG211" s="3">
        <f t="shared" si="161"/>
        <v>0</v>
      </c>
      <c r="FH211" s="3">
        <f t="shared" si="161"/>
        <v>0</v>
      </c>
      <c r="FI211" s="3">
        <f t="shared" si="161"/>
        <v>0</v>
      </c>
      <c r="FJ211" s="3">
        <f t="shared" si="161"/>
        <v>0</v>
      </c>
      <c r="FK211" s="3">
        <f t="shared" si="161"/>
        <v>0</v>
      </c>
      <c r="FL211" s="3">
        <f t="shared" si="161"/>
        <v>0</v>
      </c>
      <c r="FM211" s="3">
        <f t="shared" si="161"/>
        <v>0</v>
      </c>
      <c r="FN211" s="3">
        <f t="shared" si="161"/>
        <v>0</v>
      </c>
      <c r="FO211" s="3">
        <f t="shared" si="161"/>
        <v>0</v>
      </c>
      <c r="FP211" s="3">
        <f t="shared" si="161"/>
        <v>0</v>
      </c>
      <c r="FQ211" s="3">
        <f t="shared" si="161"/>
        <v>0</v>
      </c>
      <c r="FR211" s="3">
        <f t="shared" si="161"/>
        <v>0</v>
      </c>
      <c r="FS211" s="3">
        <f t="shared" ref="FS211:GX211" si="162">FS369</f>
        <v>0</v>
      </c>
      <c r="FT211" s="3">
        <f t="shared" si="162"/>
        <v>0</v>
      </c>
      <c r="FU211" s="3">
        <f t="shared" si="162"/>
        <v>0</v>
      </c>
      <c r="FV211" s="3">
        <f t="shared" si="162"/>
        <v>0</v>
      </c>
      <c r="FW211" s="3">
        <f t="shared" si="162"/>
        <v>0</v>
      </c>
      <c r="FX211" s="3">
        <f t="shared" si="162"/>
        <v>0</v>
      </c>
      <c r="FY211" s="3">
        <f t="shared" si="162"/>
        <v>0</v>
      </c>
      <c r="FZ211" s="3">
        <f t="shared" si="162"/>
        <v>0</v>
      </c>
      <c r="GA211" s="3">
        <f t="shared" si="162"/>
        <v>0</v>
      </c>
      <c r="GB211" s="3">
        <f t="shared" si="162"/>
        <v>0</v>
      </c>
      <c r="GC211" s="3">
        <f t="shared" si="162"/>
        <v>0</v>
      </c>
      <c r="GD211" s="3">
        <f t="shared" si="162"/>
        <v>0</v>
      </c>
      <c r="GE211" s="3">
        <f t="shared" si="162"/>
        <v>0</v>
      </c>
      <c r="GF211" s="3">
        <f t="shared" si="162"/>
        <v>0</v>
      </c>
      <c r="GG211" s="3">
        <f t="shared" si="162"/>
        <v>0</v>
      </c>
      <c r="GH211" s="3">
        <f t="shared" si="162"/>
        <v>0</v>
      </c>
      <c r="GI211" s="3">
        <f t="shared" si="162"/>
        <v>0</v>
      </c>
      <c r="GJ211" s="3">
        <f t="shared" si="162"/>
        <v>0</v>
      </c>
      <c r="GK211" s="3">
        <f t="shared" si="162"/>
        <v>0</v>
      </c>
      <c r="GL211" s="3">
        <f t="shared" si="162"/>
        <v>0</v>
      </c>
      <c r="GM211" s="3">
        <f t="shared" si="162"/>
        <v>0</v>
      </c>
      <c r="GN211" s="3">
        <f t="shared" si="162"/>
        <v>0</v>
      </c>
      <c r="GO211" s="3">
        <f t="shared" si="162"/>
        <v>0</v>
      </c>
      <c r="GP211" s="3">
        <f t="shared" si="162"/>
        <v>0</v>
      </c>
      <c r="GQ211" s="3">
        <f t="shared" si="162"/>
        <v>0</v>
      </c>
      <c r="GR211" s="3">
        <f t="shared" si="162"/>
        <v>0</v>
      </c>
      <c r="GS211" s="3">
        <f t="shared" si="162"/>
        <v>0</v>
      </c>
      <c r="GT211" s="3">
        <f t="shared" si="162"/>
        <v>0</v>
      </c>
      <c r="GU211" s="3">
        <f t="shared" si="162"/>
        <v>0</v>
      </c>
      <c r="GV211" s="3">
        <f t="shared" si="162"/>
        <v>0</v>
      </c>
      <c r="GW211" s="3">
        <f t="shared" si="162"/>
        <v>0</v>
      </c>
      <c r="GX211" s="3">
        <f t="shared" si="162"/>
        <v>0</v>
      </c>
    </row>
    <row r="213" spans="1:245" x14ac:dyDescent="0.2">
      <c r="A213" s="1">
        <v>5</v>
      </c>
      <c r="B213" s="1">
        <v>1</v>
      </c>
      <c r="C213" s="1"/>
      <c r="D213" s="1">
        <f>ROW(A238)</f>
        <v>238</v>
      </c>
      <c r="E213" s="1"/>
      <c r="F213" s="1" t="s">
        <v>14</v>
      </c>
      <c r="G213" s="1" t="s">
        <v>15</v>
      </c>
      <c r="H213" s="1" t="s">
        <v>3</v>
      </c>
      <c r="I213" s="1">
        <v>0</v>
      </c>
      <c r="J213" s="1"/>
      <c r="K213" s="1">
        <v>-1</v>
      </c>
      <c r="L213" s="1"/>
      <c r="M213" s="1" t="s">
        <v>3</v>
      </c>
      <c r="N213" s="1"/>
      <c r="O213" s="1"/>
      <c r="P213" s="1"/>
      <c r="Q213" s="1"/>
      <c r="R213" s="1"/>
      <c r="S213" s="1">
        <v>0</v>
      </c>
      <c r="T213" s="1"/>
      <c r="U213" s="1" t="s">
        <v>3</v>
      </c>
      <c r="V213" s="1">
        <v>0</v>
      </c>
      <c r="W213" s="1"/>
      <c r="X213" s="1"/>
      <c r="Y213" s="1"/>
      <c r="Z213" s="1"/>
      <c r="AA213" s="1"/>
      <c r="AB213" s="1" t="s">
        <v>3</v>
      </c>
      <c r="AC213" s="1" t="s">
        <v>3</v>
      </c>
      <c r="AD213" s="1" t="s">
        <v>3</v>
      </c>
      <c r="AE213" s="1" t="s">
        <v>3</v>
      </c>
      <c r="AF213" s="1" t="s">
        <v>3</v>
      </c>
      <c r="AG213" s="1" t="s">
        <v>3</v>
      </c>
      <c r="AH213" s="1"/>
      <c r="AI213" s="1"/>
      <c r="AJ213" s="1"/>
      <c r="AK213" s="1"/>
      <c r="AL213" s="1"/>
      <c r="AM213" s="1"/>
      <c r="AN213" s="1"/>
      <c r="AO213" s="1"/>
      <c r="AP213" s="1" t="s">
        <v>3</v>
      </c>
      <c r="AQ213" s="1" t="s">
        <v>3</v>
      </c>
      <c r="AR213" s="1" t="s">
        <v>3</v>
      </c>
      <c r="AS213" s="1"/>
      <c r="AT213" s="1"/>
      <c r="AU213" s="1"/>
      <c r="AV213" s="1"/>
      <c r="AW213" s="1"/>
      <c r="AX213" s="1"/>
      <c r="AY213" s="1"/>
      <c r="AZ213" s="1" t="s">
        <v>3</v>
      </c>
      <c r="BA213" s="1"/>
      <c r="BB213" s="1" t="s">
        <v>3</v>
      </c>
      <c r="BC213" s="1" t="s">
        <v>3</v>
      </c>
      <c r="BD213" s="1" t="s">
        <v>3</v>
      </c>
      <c r="BE213" s="1" t="s">
        <v>3</v>
      </c>
      <c r="BF213" s="1" t="s">
        <v>3</v>
      </c>
      <c r="BG213" s="1" t="s">
        <v>3</v>
      </c>
      <c r="BH213" s="1" t="s">
        <v>3</v>
      </c>
      <c r="BI213" s="1" t="s">
        <v>3</v>
      </c>
      <c r="BJ213" s="1" t="s">
        <v>3</v>
      </c>
      <c r="BK213" s="1" t="s">
        <v>3</v>
      </c>
      <c r="BL213" s="1" t="s">
        <v>3</v>
      </c>
      <c r="BM213" s="1" t="s">
        <v>3</v>
      </c>
      <c r="BN213" s="1" t="s">
        <v>3</v>
      </c>
      <c r="BO213" s="1" t="s">
        <v>3</v>
      </c>
      <c r="BP213" s="1" t="s">
        <v>3</v>
      </c>
      <c r="BQ213" s="1"/>
      <c r="BR213" s="1"/>
      <c r="BS213" s="1"/>
      <c r="BT213" s="1"/>
      <c r="BU213" s="1"/>
      <c r="BV213" s="1"/>
      <c r="BW213" s="1"/>
      <c r="BX213" s="1">
        <v>0</v>
      </c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>
        <v>0</v>
      </c>
    </row>
    <row r="215" spans="1:245" x14ac:dyDescent="0.2">
      <c r="A215" s="2">
        <v>52</v>
      </c>
      <c r="B215" s="2">
        <f t="shared" ref="B215:G215" si="163">B238</f>
        <v>1</v>
      </c>
      <c r="C215" s="2">
        <f t="shared" si="163"/>
        <v>5</v>
      </c>
      <c r="D215" s="2">
        <f t="shared" si="163"/>
        <v>213</v>
      </c>
      <c r="E215" s="2">
        <f t="shared" si="163"/>
        <v>0</v>
      </c>
      <c r="F215" s="2" t="str">
        <f t="shared" si="163"/>
        <v>Новый подраздел</v>
      </c>
      <c r="G215" s="2" t="str">
        <f t="shared" si="163"/>
        <v>Оборудование водоснабжения и водоотведения</v>
      </c>
      <c r="H215" s="2"/>
      <c r="I215" s="2"/>
      <c r="J215" s="2"/>
      <c r="K215" s="2"/>
      <c r="L215" s="2"/>
      <c r="M215" s="2"/>
      <c r="N215" s="2"/>
      <c r="O215" s="2">
        <f t="shared" ref="O215:AT215" si="164">O238</f>
        <v>16253.95</v>
      </c>
      <c r="P215" s="2">
        <f t="shared" si="164"/>
        <v>143.72999999999999</v>
      </c>
      <c r="Q215" s="2">
        <f t="shared" si="164"/>
        <v>635.34</v>
      </c>
      <c r="R215" s="2">
        <f t="shared" si="164"/>
        <v>396.68</v>
      </c>
      <c r="S215" s="2">
        <f t="shared" si="164"/>
        <v>15474.88</v>
      </c>
      <c r="T215" s="2">
        <f t="shared" si="164"/>
        <v>0</v>
      </c>
      <c r="U215" s="2">
        <f t="shared" si="164"/>
        <v>29.479200000000002</v>
      </c>
      <c r="V215" s="2">
        <f t="shared" si="164"/>
        <v>0</v>
      </c>
      <c r="W215" s="2">
        <f t="shared" si="164"/>
        <v>0</v>
      </c>
      <c r="X215" s="2">
        <f t="shared" si="164"/>
        <v>10832.41</v>
      </c>
      <c r="Y215" s="2">
        <f t="shared" si="164"/>
        <v>1547.49</v>
      </c>
      <c r="Z215" s="2">
        <f t="shared" si="164"/>
        <v>0</v>
      </c>
      <c r="AA215" s="2">
        <f t="shared" si="164"/>
        <v>0</v>
      </c>
      <c r="AB215" s="2">
        <f t="shared" si="164"/>
        <v>16253.95</v>
      </c>
      <c r="AC215" s="2">
        <f t="shared" si="164"/>
        <v>143.72999999999999</v>
      </c>
      <c r="AD215" s="2">
        <f t="shared" si="164"/>
        <v>635.34</v>
      </c>
      <c r="AE215" s="2">
        <f t="shared" si="164"/>
        <v>396.68</v>
      </c>
      <c r="AF215" s="2">
        <f t="shared" si="164"/>
        <v>15474.88</v>
      </c>
      <c r="AG215" s="2">
        <f t="shared" si="164"/>
        <v>0</v>
      </c>
      <c r="AH215" s="2">
        <f t="shared" si="164"/>
        <v>29.479200000000002</v>
      </c>
      <c r="AI215" s="2">
        <f t="shared" si="164"/>
        <v>0</v>
      </c>
      <c r="AJ215" s="2">
        <f t="shared" si="164"/>
        <v>0</v>
      </c>
      <c r="AK215" s="2">
        <f t="shared" si="164"/>
        <v>10832.41</v>
      </c>
      <c r="AL215" s="2">
        <f t="shared" si="164"/>
        <v>1547.49</v>
      </c>
      <c r="AM215" s="2">
        <f t="shared" si="164"/>
        <v>0</v>
      </c>
      <c r="AN215" s="2">
        <f t="shared" si="164"/>
        <v>0</v>
      </c>
      <c r="AO215" s="2">
        <f t="shared" si="164"/>
        <v>0</v>
      </c>
      <c r="AP215" s="2">
        <f t="shared" si="164"/>
        <v>0</v>
      </c>
      <c r="AQ215" s="2">
        <f t="shared" si="164"/>
        <v>0</v>
      </c>
      <c r="AR215" s="2">
        <f t="shared" si="164"/>
        <v>29062.25</v>
      </c>
      <c r="AS215" s="2">
        <f t="shared" si="164"/>
        <v>0</v>
      </c>
      <c r="AT215" s="2">
        <f t="shared" si="164"/>
        <v>0</v>
      </c>
      <c r="AU215" s="2">
        <f t="shared" ref="AU215:BZ215" si="165">AU238</f>
        <v>29062.25</v>
      </c>
      <c r="AV215" s="2">
        <f t="shared" si="165"/>
        <v>143.72999999999999</v>
      </c>
      <c r="AW215" s="2">
        <f t="shared" si="165"/>
        <v>143.72999999999999</v>
      </c>
      <c r="AX215" s="2">
        <f t="shared" si="165"/>
        <v>0</v>
      </c>
      <c r="AY215" s="2">
        <f t="shared" si="165"/>
        <v>143.72999999999999</v>
      </c>
      <c r="AZ215" s="2">
        <f t="shared" si="165"/>
        <v>0</v>
      </c>
      <c r="BA215" s="2">
        <f t="shared" si="165"/>
        <v>0</v>
      </c>
      <c r="BB215" s="2">
        <f t="shared" si="165"/>
        <v>0</v>
      </c>
      <c r="BC215" s="2">
        <f t="shared" si="165"/>
        <v>0</v>
      </c>
      <c r="BD215" s="2">
        <f t="shared" si="165"/>
        <v>0</v>
      </c>
      <c r="BE215" s="2">
        <f t="shared" si="165"/>
        <v>0</v>
      </c>
      <c r="BF215" s="2">
        <f t="shared" si="165"/>
        <v>0</v>
      </c>
      <c r="BG215" s="2">
        <f t="shared" si="165"/>
        <v>0</v>
      </c>
      <c r="BH215" s="2">
        <f t="shared" si="165"/>
        <v>0</v>
      </c>
      <c r="BI215" s="2">
        <f t="shared" si="165"/>
        <v>0</v>
      </c>
      <c r="BJ215" s="2">
        <f t="shared" si="165"/>
        <v>0</v>
      </c>
      <c r="BK215" s="2">
        <f t="shared" si="165"/>
        <v>0</v>
      </c>
      <c r="BL215" s="2">
        <f t="shared" si="165"/>
        <v>0</v>
      </c>
      <c r="BM215" s="2">
        <f t="shared" si="165"/>
        <v>0</v>
      </c>
      <c r="BN215" s="2">
        <f t="shared" si="165"/>
        <v>0</v>
      </c>
      <c r="BO215" s="2">
        <f t="shared" si="165"/>
        <v>0</v>
      </c>
      <c r="BP215" s="2">
        <f t="shared" si="165"/>
        <v>0</v>
      </c>
      <c r="BQ215" s="2">
        <f t="shared" si="165"/>
        <v>0</v>
      </c>
      <c r="BR215" s="2">
        <f t="shared" si="165"/>
        <v>0</v>
      </c>
      <c r="BS215" s="2">
        <f t="shared" si="165"/>
        <v>0</v>
      </c>
      <c r="BT215" s="2">
        <f t="shared" si="165"/>
        <v>0</v>
      </c>
      <c r="BU215" s="2">
        <f t="shared" si="165"/>
        <v>0</v>
      </c>
      <c r="BV215" s="2">
        <f t="shared" si="165"/>
        <v>0</v>
      </c>
      <c r="BW215" s="2">
        <f t="shared" si="165"/>
        <v>0</v>
      </c>
      <c r="BX215" s="2">
        <f t="shared" si="165"/>
        <v>0</v>
      </c>
      <c r="BY215" s="2">
        <f t="shared" si="165"/>
        <v>0</v>
      </c>
      <c r="BZ215" s="2">
        <f t="shared" si="165"/>
        <v>0</v>
      </c>
      <c r="CA215" s="2">
        <f t="shared" ref="CA215:DF215" si="166">CA238</f>
        <v>29062.25</v>
      </c>
      <c r="CB215" s="2">
        <f t="shared" si="166"/>
        <v>0</v>
      </c>
      <c r="CC215" s="2">
        <f t="shared" si="166"/>
        <v>0</v>
      </c>
      <c r="CD215" s="2">
        <f t="shared" si="166"/>
        <v>29062.25</v>
      </c>
      <c r="CE215" s="2">
        <f t="shared" si="166"/>
        <v>143.72999999999999</v>
      </c>
      <c r="CF215" s="2">
        <f t="shared" si="166"/>
        <v>143.72999999999999</v>
      </c>
      <c r="CG215" s="2">
        <f t="shared" si="166"/>
        <v>0</v>
      </c>
      <c r="CH215" s="2">
        <f t="shared" si="166"/>
        <v>143.72999999999999</v>
      </c>
      <c r="CI215" s="2">
        <f t="shared" si="166"/>
        <v>0</v>
      </c>
      <c r="CJ215" s="2">
        <f t="shared" si="166"/>
        <v>0</v>
      </c>
      <c r="CK215" s="2">
        <f t="shared" si="166"/>
        <v>0</v>
      </c>
      <c r="CL215" s="2">
        <f t="shared" si="166"/>
        <v>0</v>
      </c>
      <c r="CM215" s="2">
        <f t="shared" si="166"/>
        <v>0</v>
      </c>
      <c r="CN215" s="2">
        <f t="shared" si="166"/>
        <v>0</v>
      </c>
      <c r="CO215" s="2">
        <f t="shared" si="166"/>
        <v>0</v>
      </c>
      <c r="CP215" s="2">
        <f t="shared" si="166"/>
        <v>0</v>
      </c>
      <c r="CQ215" s="2">
        <f t="shared" si="166"/>
        <v>0</v>
      </c>
      <c r="CR215" s="2">
        <f t="shared" si="166"/>
        <v>0</v>
      </c>
      <c r="CS215" s="2">
        <f t="shared" si="166"/>
        <v>0</v>
      </c>
      <c r="CT215" s="2">
        <f t="shared" si="166"/>
        <v>0</v>
      </c>
      <c r="CU215" s="2">
        <f t="shared" si="166"/>
        <v>0</v>
      </c>
      <c r="CV215" s="2">
        <f t="shared" si="166"/>
        <v>0</v>
      </c>
      <c r="CW215" s="2">
        <f t="shared" si="166"/>
        <v>0</v>
      </c>
      <c r="CX215" s="2">
        <f t="shared" si="166"/>
        <v>0</v>
      </c>
      <c r="CY215" s="2">
        <f t="shared" si="166"/>
        <v>0</v>
      </c>
      <c r="CZ215" s="2">
        <f t="shared" si="166"/>
        <v>0</v>
      </c>
      <c r="DA215" s="2">
        <f t="shared" si="166"/>
        <v>0</v>
      </c>
      <c r="DB215" s="2">
        <f t="shared" si="166"/>
        <v>0</v>
      </c>
      <c r="DC215" s="2">
        <f t="shared" si="166"/>
        <v>0</v>
      </c>
      <c r="DD215" s="2">
        <f t="shared" si="166"/>
        <v>0</v>
      </c>
      <c r="DE215" s="2">
        <f t="shared" si="166"/>
        <v>0</v>
      </c>
      <c r="DF215" s="2">
        <f t="shared" si="166"/>
        <v>0</v>
      </c>
      <c r="DG215" s="3">
        <f t="shared" ref="DG215:EL215" si="167">DG238</f>
        <v>0</v>
      </c>
      <c r="DH215" s="3">
        <f t="shared" si="167"/>
        <v>0</v>
      </c>
      <c r="DI215" s="3">
        <f t="shared" si="167"/>
        <v>0</v>
      </c>
      <c r="DJ215" s="3">
        <f t="shared" si="167"/>
        <v>0</v>
      </c>
      <c r="DK215" s="3">
        <f t="shared" si="167"/>
        <v>0</v>
      </c>
      <c r="DL215" s="3">
        <f t="shared" si="167"/>
        <v>0</v>
      </c>
      <c r="DM215" s="3">
        <f t="shared" si="167"/>
        <v>0</v>
      </c>
      <c r="DN215" s="3">
        <f t="shared" si="167"/>
        <v>0</v>
      </c>
      <c r="DO215" s="3">
        <f t="shared" si="167"/>
        <v>0</v>
      </c>
      <c r="DP215" s="3">
        <f t="shared" si="167"/>
        <v>0</v>
      </c>
      <c r="DQ215" s="3">
        <f t="shared" si="167"/>
        <v>0</v>
      </c>
      <c r="DR215" s="3">
        <f t="shared" si="167"/>
        <v>0</v>
      </c>
      <c r="DS215" s="3">
        <f t="shared" si="167"/>
        <v>0</v>
      </c>
      <c r="DT215" s="3">
        <f t="shared" si="167"/>
        <v>0</v>
      </c>
      <c r="DU215" s="3">
        <f t="shared" si="167"/>
        <v>0</v>
      </c>
      <c r="DV215" s="3">
        <f t="shared" si="167"/>
        <v>0</v>
      </c>
      <c r="DW215" s="3">
        <f t="shared" si="167"/>
        <v>0</v>
      </c>
      <c r="DX215" s="3">
        <f t="shared" si="167"/>
        <v>0</v>
      </c>
      <c r="DY215" s="3">
        <f t="shared" si="167"/>
        <v>0</v>
      </c>
      <c r="DZ215" s="3">
        <f t="shared" si="167"/>
        <v>0</v>
      </c>
      <c r="EA215" s="3">
        <f t="shared" si="167"/>
        <v>0</v>
      </c>
      <c r="EB215" s="3">
        <f t="shared" si="167"/>
        <v>0</v>
      </c>
      <c r="EC215" s="3">
        <f t="shared" si="167"/>
        <v>0</v>
      </c>
      <c r="ED215" s="3">
        <f t="shared" si="167"/>
        <v>0</v>
      </c>
      <c r="EE215" s="3">
        <f t="shared" si="167"/>
        <v>0</v>
      </c>
      <c r="EF215" s="3">
        <f t="shared" si="167"/>
        <v>0</v>
      </c>
      <c r="EG215" s="3">
        <f t="shared" si="167"/>
        <v>0</v>
      </c>
      <c r="EH215" s="3">
        <f t="shared" si="167"/>
        <v>0</v>
      </c>
      <c r="EI215" s="3">
        <f t="shared" si="167"/>
        <v>0</v>
      </c>
      <c r="EJ215" s="3">
        <f t="shared" si="167"/>
        <v>0</v>
      </c>
      <c r="EK215" s="3">
        <f t="shared" si="167"/>
        <v>0</v>
      </c>
      <c r="EL215" s="3">
        <f t="shared" si="167"/>
        <v>0</v>
      </c>
      <c r="EM215" s="3">
        <f t="shared" ref="EM215:FR215" si="168">EM238</f>
        <v>0</v>
      </c>
      <c r="EN215" s="3">
        <f t="shared" si="168"/>
        <v>0</v>
      </c>
      <c r="EO215" s="3">
        <f t="shared" si="168"/>
        <v>0</v>
      </c>
      <c r="EP215" s="3">
        <f t="shared" si="168"/>
        <v>0</v>
      </c>
      <c r="EQ215" s="3">
        <f t="shared" si="168"/>
        <v>0</v>
      </c>
      <c r="ER215" s="3">
        <f t="shared" si="168"/>
        <v>0</v>
      </c>
      <c r="ES215" s="3">
        <f t="shared" si="168"/>
        <v>0</v>
      </c>
      <c r="ET215" s="3">
        <f t="shared" si="168"/>
        <v>0</v>
      </c>
      <c r="EU215" s="3">
        <f t="shared" si="168"/>
        <v>0</v>
      </c>
      <c r="EV215" s="3">
        <f t="shared" si="168"/>
        <v>0</v>
      </c>
      <c r="EW215" s="3">
        <f t="shared" si="168"/>
        <v>0</v>
      </c>
      <c r="EX215" s="3">
        <f t="shared" si="168"/>
        <v>0</v>
      </c>
      <c r="EY215" s="3">
        <f t="shared" si="168"/>
        <v>0</v>
      </c>
      <c r="EZ215" s="3">
        <f t="shared" si="168"/>
        <v>0</v>
      </c>
      <c r="FA215" s="3">
        <f t="shared" si="168"/>
        <v>0</v>
      </c>
      <c r="FB215" s="3">
        <f t="shared" si="168"/>
        <v>0</v>
      </c>
      <c r="FC215" s="3">
        <f t="shared" si="168"/>
        <v>0</v>
      </c>
      <c r="FD215" s="3">
        <f t="shared" si="168"/>
        <v>0</v>
      </c>
      <c r="FE215" s="3">
        <f t="shared" si="168"/>
        <v>0</v>
      </c>
      <c r="FF215" s="3">
        <f t="shared" si="168"/>
        <v>0</v>
      </c>
      <c r="FG215" s="3">
        <f t="shared" si="168"/>
        <v>0</v>
      </c>
      <c r="FH215" s="3">
        <f t="shared" si="168"/>
        <v>0</v>
      </c>
      <c r="FI215" s="3">
        <f t="shared" si="168"/>
        <v>0</v>
      </c>
      <c r="FJ215" s="3">
        <f t="shared" si="168"/>
        <v>0</v>
      </c>
      <c r="FK215" s="3">
        <f t="shared" si="168"/>
        <v>0</v>
      </c>
      <c r="FL215" s="3">
        <f t="shared" si="168"/>
        <v>0</v>
      </c>
      <c r="FM215" s="3">
        <f t="shared" si="168"/>
        <v>0</v>
      </c>
      <c r="FN215" s="3">
        <f t="shared" si="168"/>
        <v>0</v>
      </c>
      <c r="FO215" s="3">
        <f t="shared" si="168"/>
        <v>0</v>
      </c>
      <c r="FP215" s="3">
        <f t="shared" si="168"/>
        <v>0</v>
      </c>
      <c r="FQ215" s="3">
        <f t="shared" si="168"/>
        <v>0</v>
      </c>
      <c r="FR215" s="3">
        <f t="shared" si="168"/>
        <v>0</v>
      </c>
      <c r="FS215" s="3">
        <f t="shared" ref="FS215:GX215" si="169">FS238</f>
        <v>0</v>
      </c>
      <c r="FT215" s="3">
        <f t="shared" si="169"/>
        <v>0</v>
      </c>
      <c r="FU215" s="3">
        <f t="shared" si="169"/>
        <v>0</v>
      </c>
      <c r="FV215" s="3">
        <f t="shared" si="169"/>
        <v>0</v>
      </c>
      <c r="FW215" s="3">
        <f t="shared" si="169"/>
        <v>0</v>
      </c>
      <c r="FX215" s="3">
        <f t="shared" si="169"/>
        <v>0</v>
      </c>
      <c r="FY215" s="3">
        <f t="shared" si="169"/>
        <v>0</v>
      </c>
      <c r="FZ215" s="3">
        <f t="shared" si="169"/>
        <v>0</v>
      </c>
      <c r="GA215" s="3">
        <f t="shared" si="169"/>
        <v>0</v>
      </c>
      <c r="GB215" s="3">
        <f t="shared" si="169"/>
        <v>0</v>
      </c>
      <c r="GC215" s="3">
        <f t="shared" si="169"/>
        <v>0</v>
      </c>
      <c r="GD215" s="3">
        <f t="shared" si="169"/>
        <v>0</v>
      </c>
      <c r="GE215" s="3">
        <f t="shared" si="169"/>
        <v>0</v>
      </c>
      <c r="GF215" s="3">
        <f t="shared" si="169"/>
        <v>0</v>
      </c>
      <c r="GG215" s="3">
        <f t="shared" si="169"/>
        <v>0</v>
      </c>
      <c r="GH215" s="3">
        <f t="shared" si="169"/>
        <v>0</v>
      </c>
      <c r="GI215" s="3">
        <f t="shared" si="169"/>
        <v>0</v>
      </c>
      <c r="GJ215" s="3">
        <f t="shared" si="169"/>
        <v>0</v>
      </c>
      <c r="GK215" s="3">
        <f t="shared" si="169"/>
        <v>0</v>
      </c>
      <c r="GL215" s="3">
        <f t="shared" si="169"/>
        <v>0</v>
      </c>
      <c r="GM215" s="3">
        <f t="shared" si="169"/>
        <v>0</v>
      </c>
      <c r="GN215" s="3">
        <f t="shared" si="169"/>
        <v>0</v>
      </c>
      <c r="GO215" s="3">
        <f t="shared" si="169"/>
        <v>0</v>
      </c>
      <c r="GP215" s="3">
        <f t="shared" si="169"/>
        <v>0</v>
      </c>
      <c r="GQ215" s="3">
        <f t="shared" si="169"/>
        <v>0</v>
      </c>
      <c r="GR215" s="3">
        <f t="shared" si="169"/>
        <v>0</v>
      </c>
      <c r="GS215" s="3">
        <f t="shared" si="169"/>
        <v>0</v>
      </c>
      <c r="GT215" s="3">
        <f t="shared" si="169"/>
        <v>0</v>
      </c>
      <c r="GU215" s="3">
        <f t="shared" si="169"/>
        <v>0</v>
      </c>
      <c r="GV215" s="3">
        <f t="shared" si="169"/>
        <v>0</v>
      </c>
      <c r="GW215" s="3">
        <f t="shared" si="169"/>
        <v>0</v>
      </c>
      <c r="GX215" s="3">
        <f t="shared" si="169"/>
        <v>0</v>
      </c>
    </row>
    <row r="217" spans="1:245" x14ac:dyDescent="0.2">
      <c r="A217">
        <v>17</v>
      </c>
      <c r="B217">
        <v>1</v>
      </c>
      <c r="D217">
        <f>ROW(EtalonRes!A102)</f>
        <v>102</v>
      </c>
      <c r="E217" t="s">
        <v>3</v>
      </c>
      <c r="F217" t="s">
        <v>16</v>
      </c>
      <c r="G217" t="s">
        <v>17</v>
      </c>
      <c r="H217" t="s">
        <v>18</v>
      </c>
      <c r="I217">
        <f>ROUND((2*4)/10,9)</f>
        <v>0.8</v>
      </c>
      <c r="J217">
        <v>0</v>
      </c>
      <c r="K217">
        <f>ROUND((2*4)/10,9)</f>
        <v>0.8</v>
      </c>
      <c r="O217">
        <f t="shared" ref="O217:O236" si="170">ROUND(CP217,2)</f>
        <v>10581.34</v>
      </c>
      <c r="P217">
        <f t="shared" ref="P217:P236" si="171">ROUND(CQ217*I217,2)</f>
        <v>0</v>
      </c>
      <c r="Q217">
        <f t="shared" ref="Q217:Q236" si="172">ROUND(CR217*I217,2)</f>
        <v>0</v>
      </c>
      <c r="R217">
        <f t="shared" ref="R217:R236" si="173">ROUND(CS217*I217,2)</f>
        <v>0</v>
      </c>
      <c r="S217">
        <f t="shared" ref="S217:S236" si="174">ROUND(CT217*I217,2)</f>
        <v>10581.34</v>
      </c>
      <c r="T217">
        <f t="shared" ref="T217:T236" si="175">ROUND(CU217*I217,2)</f>
        <v>0</v>
      </c>
      <c r="U217">
        <f t="shared" ref="U217:U236" si="176">CV217*I217</f>
        <v>17.136000000000003</v>
      </c>
      <c r="V217">
        <f t="shared" ref="V217:V236" si="177">CW217*I217</f>
        <v>0</v>
      </c>
      <c r="W217">
        <f t="shared" ref="W217:W236" si="178">ROUND(CX217*I217,2)</f>
        <v>0</v>
      </c>
      <c r="X217">
        <f t="shared" ref="X217:X236" si="179">ROUND(CY217,2)</f>
        <v>7406.94</v>
      </c>
      <c r="Y217">
        <f t="shared" ref="Y217:Y236" si="180">ROUND(CZ217,2)</f>
        <v>1058.1300000000001</v>
      </c>
      <c r="AA217">
        <v>-1</v>
      </c>
      <c r="AB217">
        <f t="shared" ref="AB217:AB236" si="181">ROUND((AC217+AD217+AF217),6)</f>
        <v>13226.68</v>
      </c>
      <c r="AC217">
        <f>ROUND(((ES217*17)),6)</f>
        <v>0</v>
      </c>
      <c r="AD217">
        <f>ROUND(((((ET217*17))-((EU217*17)))+AE217),6)</f>
        <v>0</v>
      </c>
      <c r="AE217">
        <f>ROUND(((EU217*17)),6)</f>
        <v>0</v>
      </c>
      <c r="AF217">
        <f>ROUND(((EV217*17)),6)</f>
        <v>13226.68</v>
      </c>
      <c r="AG217">
        <f t="shared" ref="AG217:AG236" si="182">ROUND((AP217),6)</f>
        <v>0</v>
      </c>
      <c r="AH217">
        <f>((EW217*17))</f>
        <v>21.42</v>
      </c>
      <c r="AI217">
        <f>((EX217*17))</f>
        <v>0</v>
      </c>
      <c r="AJ217">
        <f t="shared" ref="AJ217:AJ236" si="183">(AS217)</f>
        <v>0</v>
      </c>
      <c r="AK217">
        <v>778.04</v>
      </c>
      <c r="AL217">
        <v>0</v>
      </c>
      <c r="AM217">
        <v>0</v>
      </c>
      <c r="AN217">
        <v>0</v>
      </c>
      <c r="AO217">
        <v>778.04</v>
      </c>
      <c r="AP217">
        <v>0</v>
      </c>
      <c r="AQ217">
        <v>1.26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19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ref="CP217:CP236" si="184">(P217+Q217+S217)</f>
        <v>10581.34</v>
      </c>
      <c r="CQ217">
        <f t="shared" ref="CQ217:CQ236" si="185">(AC217*BC217*AW217)</f>
        <v>0</v>
      </c>
      <c r="CR217">
        <f>(((((ET217*17))*BB217-((EU217*17))*BS217)+AE217*BS217)*AV217)</f>
        <v>0</v>
      </c>
      <c r="CS217">
        <f t="shared" ref="CS217:CS236" si="186">(AE217*BS217*AV217)</f>
        <v>0</v>
      </c>
      <c r="CT217">
        <f t="shared" ref="CT217:CT236" si="187">(AF217*BA217*AV217)</f>
        <v>13226.68</v>
      </c>
      <c r="CU217">
        <f t="shared" ref="CU217:CU236" si="188">AG217</f>
        <v>0</v>
      </c>
      <c r="CV217">
        <f t="shared" ref="CV217:CV236" si="189">(AH217*AV217)</f>
        <v>21.42</v>
      </c>
      <c r="CW217">
        <f t="shared" ref="CW217:CW236" si="190">AI217</f>
        <v>0</v>
      </c>
      <c r="CX217">
        <f t="shared" ref="CX217:CX236" si="191">AJ217</f>
        <v>0</v>
      </c>
      <c r="CY217">
        <f t="shared" ref="CY217:CY236" si="192">((S217*BZ217)/100)</f>
        <v>7406.9380000000001</v>
      </c>
      <c r="CZ217">
        <f t="shared" ref="CZ217:CZ236" si="193">((S217*CA217)/100)</f>
        <v>1058.134</v>
      </c>
      <c r="DC217" t="s">
        <v>3</v>
      </c>
      <c r="DD217" t="s">
        <v>20</v>
      </c>
      <c r="DE217" t="s">
        <v>20</v>
      </c>
      <c r="DF217" t="s">
        <v>20</v>
      </c>
      <c r="DG217" t="s">
        <v>20</v>
      </c>
      <c r="DH217" t="s">
        <v>3</v>
      </c>
      <c r="DI217" t="s">
        <v>20</v>
      </c>
      <c r="DJ217" t="s">
        <v>20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16987630</v>
      </c>
      <c r="DV217" t="s">
        <v>18</v>
      </c>
      <c r="DW217" t="s">
        <v>18</v>
      </c>
      <c r="DX217">
        <v>10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21</v>
      </c>
      <c r="EH217">
        <v>0</v>
      </c>
      <c r="EI217" t="s">
        <v>3</v>
      </c>
      <c r="EJ217">
        <v>4</v>
      </c>
      <c r="EK217">
        <v>0</v>
      </c>
      <c r="EL217" t="s">
        <v>22</v>
      </c>
      <c r="EM217" t="s">
        <v>23</v>
      </c>
      <c r="EO217" t="s">
        <v>3</v>
      </c>
      <c r="EQ217">
        <v>1024</v>
      </c>
      <c r="ER217">
        <v>778.04</v>
      </c>
      <c r="ES217">
        <v>0</v>
      </c>
      <c r="ET217">
        <v>0</v>
      </c>
      <c r="EU217">
        <v>0</v>
      </c>
      <c r="EV217">
        <v>778.04</v>
      </c>
      <c r="EW217">
        <v>1.26</v>
      </c>
      <c r="EX217">
        <v>0</v>
      </c>
      <c r="EY217">
        <v>0</v>
      </c>
      <c r="FQ217">
        <v>0</v>
      </c>
      <c r="FR217">
        <f t="shared" ref="FR217:FR236" si="194">ROUND(IF(BI217=3,GM217,0),2)</f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1084928283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</v>
      </c>
      <c r="GL217">
        <f t="shared" ref="GL217:GL236" si="195">ROUND(IF(AND(BH217=3,BI217=3,FS217&lt;&gt;0),P217,0),2)</f>
        <v>0</v>
      </c>
      <c r="GM217">
        <f t="shared" ref="GM217:GM236" si="196">ROUND(O217+X217+Y217+GK217,2)+GX217</f>
        <v>19046.41</v>
      </c>
      <c r="GN217">
        <f t="shared" ref="GN217:GN236" si="197">IF(OR(BI217=0,BI217=1),GM217-GX217,0)</f>
        <v>0</v>
      </c>
      <c r="GO217">
        <f t="shared" ref="GO217:GO236" si="198">IF(BI217=2,GM217-GX217,0)</f>
        <v>0</v>
      </c>
      <c r="GP217">
        <f t="shared" ref="GP217:GP236" si="199">IF(BI217=4,GM217-GX217,0)</f>
        <v>19046.41</v>
      </c>
      <c r="GR217">
        <v>0</v>
      </c>
      <c r="GS217">
        <v>3</v>
      </c>
      <c r="GT217">
        <v>0</v>
      </c>
      <c r="GU217" t="s">
        <v>3</v>
      </c>
      <c r="GV217">
        <f t="shared" ref="GV217:GV236" si="200">ROUND((GT217),6)</f>
        <v>0</v>
      </c>
      <c r="GW217">
        <v>1</v>
      </c>
      <c r="GX217">
        <f t="shared" ref="GX217:GX236" si="201">ROUND(HC217*I217,2)</f>
        <v>0</v>
      </c>
      <c r="HA217">
        <v>0</v>
      </c>
      <c r="HB217">
        <v>0</v>
      </c>
      <c r="HC217">
        <f t="shared" ref="HC217:HC236" si="202">GV217*GW217</f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D218">
        <f>ROW(EtalonRes!A103)</f>
        <v>103</v>
      </c>
      <c r="E218" t="s">
        <v>3</v>
      </c>
      <c r="F218" t="s">
        <v>24</v>
      </c>
      <c r="G218" t="s">
        <v>25</v>
      </c>
      <c r="H218" t="s">
        <v>18</v>
      </c>
      <c r="I218">
        <f>ROUND(23*3/10,9)</f>
        <v>6.9</v>
      </c>
      <c r="J218">
        <v>0</v>
      </c>
      <c r="K218">
        <f>ROUND(23*3/10,9)</f>
        <v>6.9</v>
      </c>
      <c r="O218">
        <f t="shared" si="170"/>
        <v>33317.89</v>
      </c>
      <c r="P218">
        <f t="shared" si="171"/>
        <v>0</v>
      </c>
      <c r="Q218">
        <f t="shared" si="172"/>
        <v>0</v>
      </c>
      <c r="R218">
        <f t="shared" si="173"/>
        <v>0</v>
      </c>
      <c r="S218">
        <f t="shared" si="174"/>
        <v>33317.89</v>
      </c>
      <c r="T218">
        <f t="shared" si="175"/>
        <v>0</v>
      </c>
      <c r="U218">
        <f t="shared" si="176"/>
        <v>53.958000000000006</v>
      </c>
      <c r="V218">
        <f t="shared" si="177"/>
        <v>0</v>
      </c>
      <c r="W218">
        <f t="shared" si="178"/>
        <v>0</v>
      </c>
      <c r="X218">
        <f t="shared" si="179"/>
        <v>23322.52</v>
      </c>
      <c r="Y218">
        <f t="shared" si="180"/>
        <v>3331.79</v>
      </c>
      <c r="AA218">
        <v>-1</v>
      </c>
      <c r="AB218">
        <f t="shared" si="181"/>
        <v>4828.68</v>
      </c>
      <c r="AC218">
        <f>ROUND((ES218),6)</f>
        <v>0</v>
      </c>
      <c r="AD218">
        <f>ROUND(((((ET218*34))-((EU218*34)))+AE218),6)</f>
        <v>0</v>
      </c>
      <c r="AE218">
        <f>ROUND(((EU218*34)),6)</f>
        <v>0</v>
      </c>
      <c r="AF218">
        <f>ROUND(((EV218*34)),6)</f>
        <v>4828.68</v>
      </c>
      <c r="AG218">
        <f t="shared" si="182"/>
        <v>0</v>
      </c>
      <c r="AH218">
        <f>((EW218*34))</f>
        <v>7.82</v>
      </c>
      <c r="AI218">
        <f>((EX218*34))</f>
        <v>0</v>
      </c>
      <c r="AJ218">
        <f t="shared" si="183"/>
        <v>0</v>
      </c>
      <c r="AK218">
        <v>142.02000000000001</v>
      </c>
      <c r="AL218">
        <v>0</v>
      </c>
      <c r="AM218">
        <v>0</v>
      </c>
      <c r="AN218">
        <v>0</v>
      </c>
      <c r="AO218">
        <v>142.02000000000001</v>
      </c>
      <c r="AP218">
        <v>0</v>
      </c>
      <c r="AQ218">
        <v>0.23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26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184"/>
        <v>33317.89</v>
      </c>
      <c r="CQ218">
        <f t="shared" si="185"/>
        <v>0</v>
      </c>
      <c r="CR218">
        <f>(((((ET218*34))*BB218-((EU218*34))*BS218)+AE218*BS218)*AV218)</f>
        <v>0</v>
      </c>
      <c r="CS218">
        <f t="shared" si="186"/>
        <v>0</v>
      </c>
      <c r="CT218">
        <f t="shared" si="187"/>
        <v>4828.68</v>
      </c>
      <c r="CU218">
        <f t="shared" si="188"/>
        <v>0</v>
      </c>
      <c r="CV218">
        <f t="shared" si="189"/>
        <v>7.82</v>
      </c>
      <c r="CW218">
        <f t="shared" si="190"/>
        <v>0</v>
      </c>
      <c r="CX218">
        <f t="shared" si="191"/>
        <v>0</v>
      </c>
      <c r="CY218">
        <f t="shared" si="192"/>
        <v>23322.522999999997</v>
      </c>
      <c r="CZ218">
        <f t="shared" si="193"/>
        <v>3331.7890000000002</v>
      </c>
      <c r="DC218" t="s">
        <v>3</v>
      </c>
      <c r="DD218" t="s">
        <v>3</v>
      </c>
      <c r="DE218" t="s">
        <v>27</v>
      </c>
      <c r="DF218" t="s">
        <v>27</v>
      </c>
      <c r="DG218" t="s">
        <v>27</v>
      </c>
      <c r="DH218" t="s">
        <v>3</v>
      </c>
      <c r="DI218" t="s">
        <v>27</v>
      </c>
      <c r="DJ218" t="s">
        <v>27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16987630</v>
      </c>
      <c r="DV218" t="s">
        <v>18</v>
      </c>
      <c r="DW218" t="s">
        <v>18</v>
      </c>
      <c r="DX218">
        <v>10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21</v>
      </c>
      <c r="EH218">
        <v>0</v>
      </c>
      <c r="EI218" t="s">
        <v>3</v>
      </c>
      <c r="EJ218">
        <v>4</v>
      </c>
      <c r="EK218">
        <v>0</v>
      </c>
      <c r="EL218" t="s">
        <v>22</v>
      </c>
      <c r="EM218" t="s">
        <v>23</v>
      </c>
      <c r="EO218" t="s">
        <v>3</v>
      </c>
      <c r="EQ218">
        <v>1024</v>
      </c>
      <c r="ER218">
        <v>142.02000000000001</v>
      </c>
      <c r="ES218">
        <v>0</v>
      </c>
      <c r="ET218">
        <v>0</v>
      </c>
      <c r="EU218">
        <v>0</v>
      </c>
      <c r="EV218">
        <v>142.02000000000001</v>
      </c>
      <c r="EW218">
        <v>0.23</v>
      </c>
      <c r="EX218">
        <v>0</v>
      </c>
      <c r="EY218">
        <v>0</v>
      </c>
      <c r="FQ218">
        <v>0</v>
      </c>
      <c r="FR218">
        <f t="shared" si="194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1349611776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</v>
      </c>
      <c r="GL218">
        <f t="shared" si="195"/>
        <v>0</v>
      </c>
      <c r="GM218">
        <f t="shared" si="196"/>
        <v>59972.2</v>
      </c>
      <c r="GN218">
        <f t="shared" si="197"/>
        <v>0</v>
      </c>
      <c r="GO218">
        <f t="shared" si="198"/>
        <v>0</v>
      </c>
      <c r="GP218">
        <f t="shared" si="199"/>
        <v>59972.2</v>
      </c>
      <c r="GR218">
        <v>0</v>
      </c>
      <c r="GS218">
        <v>3</v>
      </c>
      <c r="GT218">
        <v>0</v>
      </c>
      <c r="GU218" t="s">
        <v>3</v>
      </c>
      <c r="GV218">
        <f t="shared" si="200"/>
        <v>0</v>
      </c>
      <c r="GW218">
        <v>1</v>
      </c>
      <c r="GX218">
        <f t="shared" si="201"/>
        <v>0</v>
      </c>
      <c r="HA218">
        <v>0</v>
      </c>
      <c r="HB218">
        <v>0</v>
      </c>
      <c r="HC218">
        <f t="shared" si="202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ROW(EtalonRes!A108)</f>
        <v>108</v>
      </c>
      <c r="E219" t="s">
        <v>246</v>
      </c>
      <c r="F219" t="s">
        <v>29</v>
      </c>
      <c r="G219" t="s">
        <v>30</v>
      </c>
      <c r="H219" t="s">
        <v>31</v>
      </c>
      <c r="I219">
        <f>ROUND((2*4)/100,9)</f>
        <v>0.08</v>
      </c>
      <c r="J219">
        <v>0</v>
      </c>
      <c r="K219">
        <f>ROUND((2*4)/100,9)</f>
        <v>0.08</v>
      </c>
      <c r="O219">
        <f t="shared" si="170"/>
        <v>4301.8999999999996</v>
      </c>
      <c r="P219">
        <f t="shared" si="171"/>
        <v>62.12</v>
      </c>
      <c r="Q219">
        <f t="shared" si="172"/>
        <v>4.95</v>
      </c>
      <c r="R219">
        <f t="shared" si="173"/>
        <v>0.06</v>
      </c>
      <c r="S219">
        <f t="shared" si="174"/>
        <v>4234.83</v>
      </c>
      <c r="T219">
        <f t="shared" si="175"/>
        <v>0</v>
      </c>
      <c r="U219">
        <f t="shared" si="176"/>
        <v>8.3552</v>
      </c>
      <c r="V219">
        <f t="shared" si="177"/>
        <v>0</v>
      </c>
      <c r="W219">
        <f t="shared" si="178"/>
        <v>0</v>
      </c>
      <c r="X219">
        <f t="shared" si="179"/>
        <v>2964.38</v>
      </c>
      <c r="Y219">
        <f t="shared" si="180"/>
        <v>423.48</v>
      </c>
      <c r="AA219">
        <v>1471531721</v>
      </c>
      <c r="AB219">
        <f t="shared" si="181"/>
        <v>53773.79</v>
      </c>
      <c r="AC219">
        <f>ROUND((ES219),6)</f>
        <v>776.55</v>
      </c>
      <c r="AD219">
        <f t="shared" ref="AD219:AD226" si="203">ROUND((((ET219)-(EU219))+AE219),6)</f>
        <v>61.83</v>
      </c>
      <c r="AE219">
        <f>ROUND((EU219),6)</f>
        <v>0.7</v>
      </c>
      <c r="AF219">
        <f>ROUND((EV219),6)</f>
        <v>52935.41</v>
      </c>
      <c r="AG219">
        <f t="shared" si="182"/>
        <v>0</v>
      </c>
      <c r="AH219">
        <f>(EW219)</f>
        <v>104.44</v>
      </c>
      <c r="AI219">
        <f>(EX219)</f>
        <v>0</v>
      </c>
      <c r="AJ219">
        <f t="shared" si="183"/>
        <v>0</v>
      </c>
      <c r="AK219">
        <v>53773.79</v>
      </c>
      <c r="AL219">
        <v>776.55</v>
      </c>
      <c r="AM219">
        <v>61.83</v>
      </c>
      <c r="AN219">
        <v>0.7</v>
      </c>
      <c r="AO219">
        <v>52935.41</v>
      </c>
      <c r="AP219">
        <v>0</v>
      </c>
      <c r="AQ219">
        <v>104.44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32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184"/>
        <v>4301.8999999999996</v>
      </c>
      <c r="CQ219">
        <f t="shared" si="185"/>
        <v>776.55</v>
      </c>
      <c r="CR219">
        <f t="shared" ref="CR219:CR226" si="204">((((ET219)*BB219-(EU219)*BS219)+AE219*BS219)*AV219)</f>
        <v>61.83</v>
      </c>
      <c r="CS219">
        <f t="shared" si="186"/>
        <v>0.7</v>
      </c>
      <c r="CT219">
        <f t="shared" si="187"/>
        <v>52935.41</v>
      </c>
      <c r="CU219">
        <f t="shared" si="188"/>
        <v>0</v>
      </c>
      <c r="CV219">
        <f t="shared" si="189"/>
        <v>104.44</v>
      </c>
      <c r="CW219">
        <f t="shared" si="190"/>
        <v>0</v>
      </c>
      <c r="CX219">
        <f t="shared" si="191"/>
        <v>0</v>
      </c>
      <c r="CY219">
        <f t="shared" si="192"/>
        <v>2964.3809999999999</v>
      </c>
      <c r="CZ219">
        <f t="shared" si="193"/>
        <v>423.483</v>
      </c>
      <c r="DC219" t="s">
        <v>3</v>
      </c>
      <c r="DD219" t="s">
        <v>3</v>
      </c>
      <c r="DE219" t="s">
        <v>3</v>
      </c>
      <c r="DF219" t="s">
        <v>3</v>
      </c>
      <c r="DG219" t="s">
        <v>3</v>
      </c>
      <c r="DH219" t="s">
        <v>3</v>
      </c>
      <c r="DI219" t="s">
        <v>3</v>
      </c>
      <c r="DJ219" t="s">
        <v>3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16987630</v>
      </c>
      <c r="DV219" t="s">
        <v>31</v>
      </c>
      <c r="DW219" t="s">
        <v>31</v>
      </c>
      <c r="DX219">
        <v>100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21</v>
      </c>
      <c r="EH219">
        <v>0</v>
      </c>
      <c r="EI219" t="s">
        <v>3</v>
      </c>
      <c r="EJ219">
        <v>4</v>
      </c>
      <c r="EK219">
        <v>0</v>
      </c>
      <c r="EL219" t="s">
        <v>22</v>
      </c>
      <c r="EM219" t="s">
        <v>23</v>
      </c>
      <c r="EO219" t="s">
        <v>3</v>
      </c>
      <c r="EQ219">
        <v>0</v>
      </c>
      <c r="ER219">
        <v>53773.79</v>
      </c>
      <c r="ES219">
        <v>776.55</v>
      </c>
      <c r="ET219">
        <v>61.83</v>
      </c>
      <c r="EU219">
        <v>0.7</v>
      </c>
      <c r="EV219">
        <v>52935.41</v>
      </c>
      <c r="EW219">
        <v>104.44</v>
      </c>
      <c r="EX219">
        <v>0</v>
      </c>
      <c r="EY219">
        <v>0</v>
      </c>
      <c r="FQ219">
        <v>0</v>
      </c>
      <c r="FR219">
        <f t="shared" si="194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-36092940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0.06</v>
      </c>
      <c r="GL219">
        <f t="shared" si="195"/>
        <v>0</v>
      </c>
      <c r="GM219">
        <f t="shared" si="196"/>
        <v>7689.82</v>
      </c>
      <c r="GN219">
        <f t="shared" si="197"/>
        <v>0</v>
      </c>
      <c r="GO219">
        <f t="shared" si="198"/>
        <v>0</v>
      </c>
      <c r="GP219">
        <f t="shared" si="199"/>
        <v>7689.82</v>
      </c>
      <c r="GR219">
        <v>0</v>
      </c>
      <c r="GS219">
        <v>3</v>
      </c>
      <c r="GT219">
        <v>0</v>
      </c>
      <c r="GU219" t="s">
        <v>3</v>
      </c>
      <c r="GV219">
        <f t="shared" si="200"/>
        <v>0</v>
      </c>
      <c r="GW219">
        <v>1</v>
      </c>
      <c r="GX219">
        <f t="shared" si="201"/>
        <v>0</v>
      </c>
      <c r="HA219">
        <v>0</v>
      </c>
      <c r="HB219">
        <v>0</v>
      </c>
      <c r="HC219">
        <f t="shared" si="202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D220">
        <f>ROW(EtalonRes!A113)</f>
        <v>113</v>
      </c>
      <c r="E220" t="s">
        <v>247</v>
      </c>
      <c r="F220" t="s">
        <v>34</v>
      </c>
      <c r="G220" t="s">
        <v>35</v>
      </c>
      <c r="H220" t="s">
        <v>31</v>
      </c>
      <c r="I220">
        <f>ROUND((2*4)/100,9)</f>
        <v>0.08</v>
      </c>
      <c r="J220">
        <v>0</v>
      </c>
      <c r="K220">
        <f>ROUND((2*4)/100,9)</f>
        <v>0.08</v>
      </c>
      <c r="O220">
        <f t="shared" si="170"/>
        <v>6227.53</v>
      </c>
      <c r="P220">
        <f t="shared" si="171"/>
        <v>62.12</v>
      </c>
      <c r="Q220">
        <f t="shared" si="172"/>
        <v>4.95</v>
      </c>
      <c r="R220">
        <f t="shared" si="173"/>
        <v>0.06</v>
      </c>
      <c r="S220">
        <f t="shared" si="174"/>
        <v>6160.46</v>
      </c>
      <c r="T220">
        <f t="shared" si="175"/>
        <v>0</v>
      </c>
      <c r="U220">
        <f t="shared" si="176"/>
        <v>12.154400000000001</v>
      </c>
      <c r="V220">
        <f t="shared" si="177"/>
        <v>0</v>
      </c>
      <c r="W220">
        <f t="shared" si="178"/>
        <v>0</v>
      </c>
      <c r="X220">
        <f t="shared" si="179"/>
        <v>4312.32</v>
      </c>
      <c r="Y220">
        <f t="shared" si="180"/>
        <v>616.04999999999995</v>
      </c>
      <c r="AA220">
        <v>1471531721</v>
      </c>
      <c r="AB220">
        <f t="shared" si="181"/>
        <v>77844.100000000006</v>
      </c>
      <c r="AC220">
        <f>ROUND((ES220),6)</f>
        <v>776.55</v>
      </c>
      <c r="AD220">
        <f t="shared" si="203"/>
        <v>61.83</v>
      </c>
      <c r="AE220">
        <f>ROUND((EU220),6)</f>
        <v>0.7</v>
      </c>
      <c r="AF220">
        <f>ROUND((EV220),6)</f>
        <v>77005.72</v>
      </c>
      <c r="AG220">
        <f t="shared" si="182"/>
        <v>0</v>
      </c>
      <c r="AH220">
        <f>(EW220)</f>
        <v>151.93</v>
      </c>
      <c r="AI220">
        <f>(EX220)</f>
        <v>0</v>
      </c>
      <c r="AJ220">
        <f t="shared" si="183"/>
        <v>0</v>
      </c>
      <c r="AK220">
        <v>77844.100000000006</v>
      </c>
      <c r="AL220">
        <v>776.55</v>
      </c>
      <c r="AM220">
        <v>61.83</v>
      </c>
      <c r="AN220">
        <v>0.7</v>
      </c>
      <c r="AO220">
        <v>77005.72</v>
      </c>
      <c r="AP220">
        <v>0</v>
      </c>
      <c r="AQ220">
        <v>151.93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36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184"/>
        <v>6227.53</v>
      </c>
      <c r="CQ220">
        <f t="shared" si="185"/>
        <v>776.55</v>
      </c>
      <c r="CR220">
        <f t="shared" si="204"/>
        <v>61.83</v>
      </c>
      <c r="CS220">
        <f t="shared" si="186"/>
        <v>0.7</v>
      </c>
      <c r="CT220">
        <f t="shared" si="187"/>
        <v>77005.72</v>
      </c>
      <c r="CU220">
        <f t="shared" si="188"/>
        <v>0</v>
      </c>
      <c r="CV220">
        <f t="shared" si="189"/>
        <v>151.93</v>
      </c>
      <c r="CW220">
        <f t="shared" si="190"/>
        <v>0</v>
      </c>
      <c r="CX220">
        <f t="shared" si="191"/>
        <v>0</v>
      </c>
      <c r="CY220">
        <f t="shared" si="192"/>
        <v>4312.3220000000001</v>
      </c>
      <c r="CZ220">
        <f t="shared" si="193"/>
        <v>616.04599999999994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16987630</v>
      </c>
      <c r="DV220" t="s">
        <v>31</v>
      </c>
      <c r="DW220" t="s">
        <v>31</v>
      </c>
      <c r="DX220">
        <v>100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21</v>
      </c>
      <c r="EH220">
        <v>0</v>
      </c>
      <c r="EI220" t="s">
        <v>3</v>
      </c>
      <c r="EJ220">
        <v>4</v>
      </c>
      <c r="EK220">
        <v>0</v>
      </c>
      <c r="EL220" t="s">
        <v>22</v>
      </c>
      <c r="EM220" t="s">
        <v>23</v>
      </c>
      <c r="EO220" t="s">
        <v>3</v>
      </c>
      <c r="EQ220">
        <v>0</v>
      </c>
      <c r="ER220">
        <v>77844.100000000006</v>
      </c>
      <c r="ES220">
        <v>776.55</v>
      </c>
      <c r="ET220">
        <v>61.83</v>
      </c>
      <c r="EU220">
        <v>0.7</v>
      </c>
      <c r="EV220">
        <v>77005.72</v>
      </c>
      <c r="EW220">
        <v>151.93</v>
      </c>
      <c r="EX220">
        <v>0</v>
      </c>
      <c r="EY220">
        <v>0</v>
      </c>
      <c r="FQ220">
        <v>0</v>
      </c>
      <c r="FR220">
        <f t="shared" si="194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1944845796</v>
      </c>
      <c r="GG220">
        <v>2</v>
      </c>
      <c r="GH220">
        <v>1</v>
      </c>
      <c r="GI220">
        <v>-2</v>
      </c>
      <c r="GJ220">
        <v>0</v>
      </c>
      <c r="GK220">
        <f>ROUND(R220*(R12)/100,2)</f>
        <v>0.06</v>
      </c>
      <c r="GL220">
        <f t="shared" si="195"/>
        <v>0</v>
      </c>
      <c r="GM220">
        <f t="shared" si="196"/>
        <v>11155.96</v>
      </c>
      <c r="GN220">
        <f t="shared" si="197"/>
        <v>0</v>
      </c>
      <c r="GO220">
        <f t="shared" si="198"/>
        <v>0</v>
      </c>
      <c r="GP220">
        <f t="shared" si="199"/>
        <v>11155.96</v>
      </c>
      <c r="GR220">
        <v>0</v>
      </c>
      <c r="GS220">
        <v>3</v>
      </c>
      <c r="GT220">
        <v>0</v>
      </c>
      <c r="GU220" t="s">
        <v>3</v>
      </c>
      <c r="GV220">
        <f t="shared" si="200"/>
        <v>0</v>
      </c>
      <c r="GW220">
        <v>1</v>
      </c>
      <c r="GX220">
        <f t="shared" si="201"/>
        <v>0</v>
      </c>
      <c r="HA220">
        <v>0</v>
      </c>
      <c r="HB220">
        <v>0</v>
      </c>
      <c r="HC220">
        <f t="shared" si="202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1</v>
      </c>
      <c r="D221">
        <f>ROW(EtalonRes!A114)</f>
        <v>114</v>
      </c>
      <c r="E221" t="s">
        <v>3</v>
      </c>
      <c r="F221" t="s">
        <v>149</v>
      </c>
      <c r="G221" t="s">
        <v>150</v>
      </c>
      <c r="H221" t="s">
        <v>39</v>
      </c>
      <c r="I221">
        <v>1</v>
      </c>
      <c r="J221">
        <v>0</v>
      </c>
      <c r="K221">
        <v>1</v>
      </c>
      <c r="O221">
        <f t="shared" si="170"/>
        <v>1128.05</v>
      </c>
      <c r="P221">
        <f t="shared" si="171"/>
        <v>0</v>
      </c>
      <c r="Q221">
        <f t="shared" si="172"/>
        <v>0</v>
      </c>
      <c r="R221">
        <f t="shared" si="173"/>
        <v>0</v>
      </c>
      <c r="S221">
        <f t="shared" si="174"/>
        <v>1128.05</v>
      </c>
      <c r="T221">
        <f t="shared" si="175"/>
        <v>0</v>
      </c>
      <c r="U221">
        <f t="shared" si="176"/>
        <v>1.7000000000000002</v>
      </c>
      <c r="V221">
        <f t="shared" si="177"/>
        <v>0</v>
      </c>
      <c r="W221">
        <f t="shared" si="178"/>
        <v>0</v>
      </c>
      <c r="X221">
        <f t="shared" si="179"/>
        <v>789.64</v>
      </c>
      <c r="Y221">
        <f t="shared" si="180"/>
        <v>112.81</v>
      </c>
      <c r="AA221">
        <v>-1</v>
      </c>
      <c r="AB221">
        <f t="shared" si="181"/>
        <v>1128.05</v>
      </c>
      <c r="AC221">
        <f>ROUND((ES221),6)</f>
        <v>0</v>
      </c>
      <c r="AD221">
        <f t="shared" si="203"/>
        <v>0</v>
      </c>
      <c r="AE221">
        <f t="shared" ref="AE221:AE226" si="205">ROUND((EU221),6)</f>
        <v>0</v>
      </c>
      <c r="AF221">
        <f>ROUND(((EV221*5)),6)</f>
        <v>1128.05</v>
      </c>
      <c r="AG221">
        <f t="shared" si="182"/>
        <v>0</v>
      </c>
      <c r="AH221">
        <f>((EW221*5))</f>
        <v>1.7000000000000002</v>
      </c>
      <c r="AI221">
        <f t="shared" ref="AI221:AI226" si="206">(EX221)</f>
        <v>0</v>
      </c>
      <c r="AJ221">
        <f t="shared" si="183"/>
        <v>0</v>
      </c>
      <c r="AK221">
        <v>225.61</v>
      </c>
      <c r="AL221">
        <v>0</v>
      </c>
      <c r="AM221">
        <v>0</v>
      </c>
      <c r="AN221">
        <v>0</v>
      </c>
      <c r="AO221">
        <v>225.61</v>
      </c>
      <c r="AP221">
        <v>0</v>
      </c>
      <c r="AQ221">
        <v>0.34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151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184"/>
        <v>1128.05</v>
      </c>
      <c r="CQ221">
        <f t="shared" si="185"/>
        <v>0</v>
      </c>
      <c r="CR221">
        <f t="shared" si="204"/>
        <v>0</v>
      </c>
      <c r="CS221">
        <f t="shared" si="186"/>
        <v>0</v>
      </c>
      <c r="CT221">
        <f t="shared" si="187"/>
        <v>1128.05</v>
      </c>
      <c r="CU221">
        <f t="shared" si="188"/>
        <v>0</v>
      </c>
      <c r="CV221">
        <f t="shared" si="189"/>
        <v>1.7000000000000002</v>
      </c>
      <c r="CW221">
        <f t="shared" si="190"/>
        <v>0</v>
      </c>
      <c r="CX221">
        <f t="shared" si="191"/>
        <v>0</v>
      </c>
      <c r="CY221">
        <f t="shared" si="192"/>
        <v>789.63499999999999</v>
      </c>
      <c r="CZ221">
        <f t="shared" si="193"/>
        <v>112.80500000000001</v>
      </c>
      <c r="DC221" t="s">
        <v>3</v>
      </c>
      <c r="DD221" t="s">
        <v>3</v>
      </c>
      <c r="DE221" t="s">
        <v>3</v>
      </c>
      <c r="DF221" t="s">
        <v>3</v>
      </c>
      <c r="DG221" t="s">
        <v>152</v>
      </c>
      <c r="DH221" t="s">
        <v>3</v>
      </c>
      <c r="DI221" t="s">
        <v>152</v>
      </c>
      <c r="DJ221" t="s">
        <v>3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39</v>
      </c>
      <c r="DW221" t="s">
        <v>39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1441815344</v>
      </c>
      <c r="EF221">
        <v>1</v>
      </c>
      <c r="EG221" t="s">
        <v>21</v>
      </c>
      <c r="EH221">
        <v>0</v>
      </c>
      <c r="EI221" t="s">
        <v>3</v>
      </c>
      <c r="EJ221">
        <v>4</v>
      </c>
      <c r="EK221">
        <v>0</v>
      </c>
      <c r="EL221" t="s">
        <v>22</v>
      </c>
      <c r="EM221" t="s">
        <v>23</v>
      </c>
      <c r="EO221" t="s">
        <v>3</v>
      </c>
      <c r="EQ221">
        <v>1024</v>
      </c>
      <c r="ER221">
        <v>225.61</v>
      </c>
      <c r="ES221">
        <v>0</v>
      </c>
      <c r="ET221">
        <v>0</v>
      </c>
      <c r="EU221">
        <v>0</v>
      </c>
      <c r="EV221">
        <v>225.61</v>
      </c>
      <c r="EW221">
        <v>0.34</v>
      </c>
      <c r="EX221">
        <v>0</v>
      </c>
      <c r="EY221">
        <v>0</v>
      </c>
      <c r="FQ221">
        <v>0</v>
      </c>
      <c r="FR221">
        <f t="shared" si="194"/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-882349918</v>
      </c>
      <c r="GG221">
        <v>2</v>
      </c>
      <c r="GH221">
        <v>1</v>
      </c>
      <c r="GI221">
        <v>-2</v>
      </c>
      <c r="GJ221">
        <v>0</v>
      </c>
      <c r="GK221">
        <f>ROUND(R221*(R12)/100,2)</f>
        <v>0</v>
      </c>
      <c r="GL221">
        <f t="shared" si="195"/>
        <v>0</v>
      </c>
      <c r="GM221">
        <f t="shared" si="196"/>
        <v>2030.5</v>
      </c>
      <c r="GN221">
        <f t="shared" si="197"/>
        <v>0</v>
      </c>
      <c r="GO221">
        <f t="shared" si="198"/>
        <v>0</v>
      </c>
      <c r="GP221">
        <f t="shared" si="199"/>
        <v>2030.5</v>
      </c>
      <c r="GR221">
        <v>0</v>
      </c>
      <c r="GS221">
        <v>3</v>
      </c>
      <c r="GT221">
        <v>0</v>
      </c>
      <c r="GU221" t="s">
        <v>3</v>
      </c>
      <c r="GV221">
        <f t="shared" si="200"/>
        <v>0</v>
      </c>
      <c r="GW221">
        <v>1</v>
      </c>
      <c r="GX221">
        <f t="shared" si="201"/>
        <v>0</v>
      </c>
      <c r="HA221">
        <v>0</v>
      </c>
      <c r="HB221">
        <v>0</v>
      </c>
      <c r="HC221">
        <f t="shared" si="202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D222">
        <f>ROW(EtalonRes!A117)</f>
        <v>117</v>
      </c>
      <c r="E222" t="s">
        <v>3</v>
      </c>
      <c r="F222" t="s">
        <v>153</v>
      </c>
      <c r="G222" t="s">
        <v>248</v>
      </c>
      <c r="H222" t="s">
        <v>39</v>
      </c>
      <c r="I222">
        <v>1</v>
      </c>
      <c r="J222">
        <v>0</v>
      </c>
      <c r="K222">
        <v>1</v>
      </c>
      <c r="O222">
        <f t="shared" si="170"/>
        <v>10347.06</v>
      </c>
      <c r="P222">
        <f t="shared" si="171"/>
        <v>393.45</v>
      </c>
      <c r="Q222">
        <f t="shared" si="172"/>
        <v>0</v>
      </c>
      <c r="R222">
        <f t="shared" si="173"/>
        <v>0</v>
      </c>
      <c r="S222">
        <f t="shared" si="174"/>
        <v>9953.61</v>
      </c>
      <c r="T222">
        <f t="shared" si="175"/>
        <v>0</v>
      </c>
      <c r="U222">
        <f t="shared" si="176"/>
        <v>15</v>
      </c>
      <c r="V222">
        <f t="shared" si="177"/>
        <v>0</v>
      </c>
      <c r="W222">
        <f t="shared" si="178"/>
        <v>0</v>
      </c>
      <c r="X222">
        <f t="shared" si="179"/>
        <v>6967.53</v>
      </c>
      <c r="Y222">
        <f t="shared" si="180"/>
        <v>995.36</v>
      </c>
      <c r="AA222">
        <v>-1</v>
      </c>
      <c r="AB222">
        <f t="shared" si="181"/>
        <v>10347.06</v>
      </c>
      <c r="AC222">
        <f>ROUND(((ES222*3)),6)</f>
        <v>393.45</v>
      </c>
      <c r="AD222">
        <f t="shared" si="203"/>
        <v>0</v>
      </c>
      <c r="AE222">
        <f t="shared" si="205"/>
        <v>0</v>
      </c>
      <c r="AF222">
        <f>ROUND(((EV222*3)),6)</f>
        <v>9953.61</v>
      </c>
      <c r="AG222">
        <f t="shared" si="182"/>
        <v>0</v>
      </c>
      <c r="AH222">
        <f>((EW222*3))</f>
        <v>15</v>
      </c>
      <c r="AI222">
        <f t="shared" si="206"/>
        <v>0</v>
      </c>
      <c r="AJ222">
        <f t="shared" si="183"/>
        <v>0</v>
      </c>
      <c r="AK222">
        <v>3449.02</v>
      </c>
      <c r="AL222">
        <v>131.15</v>
      </c>
      <c r="AM222">
        <v>0</v>
      </c>
      <c r="AN222">
        <v>0</v>
      </c>
      <c r="AO222">
        <v>3317.87</v>
      </c>
      <c r="AP222">
        <v>0</v>
      </c>
      <c r="AQ222">
        <v>5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155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184"/>
        <v>10347.060000000001</v>
      </c>
      <c r="CQ222">
        <f t="shared" si="185"/>
        <v>393.45</v>
      </c>
      <c r="CR222">
        <f t="shared" si="204"/>
        <v>0</v>
      </c>
      <c r="CS222">
        <f t="shared" si="186"/>
        <v>0</v>
      </c>
      <c r="CT222">
        <f t="shared" si="187"/>
        <v>9953.61</v>
      </c>
      <c r="CU222">
        <f t="shared" si="188"/>
        <v>0</v>
      </c>
      <c r="CV222">
        <f t="shared" si="189"/>
        <v>15</v>
      </c>
      <c r="CW222">
        <f t="shared" si="190"/>
        <v>0</v>
      </c>
      <c r="CX222">
        <f t="shared" si="191"/>
        <v>0</v>
      </c>
      <c r="CY222">
        <f t="shared" si="192"/>
        <v>6967.527000000001</v>
      </c>
      <c r="CZ222">
        <f t="shared" si="193"/>
        <v>995.3610000000001</v>
      </c>
      <c r="DC222" t="s">
        <v>3</v>
      </c>
      <c r="DD222" t="s">
        <v>156</v>
      </c>
      <c r="DE222" t="s">
        <v>3</v>
      </c>
      <c r="DF222" t="s">
        <v>3</v>
      </c>
      <c r="DG222" t="s">
        <v>156</v>
      </c>
      <c r="DH222" t="s">
        <v>3</v>
      </c>
      <c r="DI222" t="s">
        <v>156</v>
      </c>
      <c r="DJ222" t="s">
        <v>3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16987630</v>
      </c>
      <c r="DV222" t="s">
        <v>39</v>
      </c>
      <c r="DW222" t="s">
        <v>39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21</v>
      </c>
      <c r="EH222">
        <v>0</v>
      </c>
      <c r="EI222" t="s">
        <v>3</v>
      </c>
      <c r="EJ222">
        <v>4</v>
      </c>
      <c r="EK222">
        <v>0</v>
      </c>
      <c r="EL222" t="s">
        <v>22</v>
      </c>
      <c r="EM222" t="s">
        <v>23</v>
      </c>
      <c r="EO222" t="s">
        <v>3</v>
      </c>
      <c r="EQ222">
        <v>1024</v>
      </c>
      <c r="ER222">
        <v>3449.02</v>
      </c>
      <c r="ES222">
        <v>131.15</v>
      </c>
      <c r="ET222">
        <v>0</v>
      </c>
      <c r="EU222">
        <v>0</v>
      </c>
      <c r="EV222">
        <v>3317.87</v>
      </c>
      <c r="EW222">
        <v>5</v>
      </c>
      <c r="EX222">
        <v>0</v>
      </c>
      <c r="EY222">
        <v>0</v>
      </c>
      <c r="FQ222">
        <v>0</v>
      </c>
      <c r="FR222">
        <f t="shared" si="194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-587063322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 t="shared" si="195"/>
        <v>0</v>
      </c>
      <c r="GM222">
        <f t="shared" si="196"/>
        <v>18309.95</v>
      </c>
      <c r="GN222">
        <f t="shared" si="197"/>
        <v>0</v>
      </c>
      <c r="GO222">
        <f t="shared" si="198"/>
        <v>0</v>
      </c>
      <c r="GP222">
        <f t="shared" si="199"/>
        <v>18309.95</v>
      </c>
      <c r="GR222">
        <v>0</v>
      </c>
      <c r="GS222">
        <v>3</v>
      </c>
      <c r="GT222">
        <v>0</v>
      </c>
      <c r="GU222" t="s">
        <v>3</v>
      </c>
      <c r="GV222">
        <f t="shared" si="200"/>
        <v>0</v>
      </c>
      <c r="GW222">
        <v>1</v>
      </c>
      <c r="GX222">
        <f t="shared" si="201"/>
        <v>0</v>
      </c>
      <c r="HA222">
        <v>0</v>
      </c>
      <c r="HB222">
        <v>0</v>
      </c>
      <c r="HC222">
        <f t="shared" si="202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ROW(EtalonRes!A118)</f>
        <v>118</v>
      </c>
      <c r="E223" t="s">
        <v>3</v>
      </c>
      <c r="F223" t="s">
        <v>37</v>
      </c>
      <c r="G223" t="s">
        <v>38</v>
      </c>
      <c r="H223" t="s">
        <v>39</v>
      </c>
      <c r="I223">
        <f>ROUND(2*4,9)</f>
        <v>8</v>
      </c>
      <c r="J223">
        <v>0</v>
      </c>
      <c r="K223">
        <f>ROUND(2*4,9)</f>
        <v>8</v>
      </c>
      <c r="O223">
        <f t="shared" si="170"/>
        <v>4050.72</v>
      </c>
      <c r="P223">
        <f t="shared" si="171"/>
        <v>0</v>
      </c>
      <c r="Q223">
        <f t="shared" si="172"/>
        <v>0</v>
      </c>
      <c r="R223">
        <f t="shared" si="173"/>
        <v>0</v>
      </c>
      <c r="S223">
        <f t="shared" si="174"/>
        <v>4050.72</v>
      </c>
      <c r="T223">
        <f t="shared" si="175"/>
        <v>0</v>
      </c>
      <c r="U223">
        <f t="shared" si="176"/>
        <v>6.56</v>
      </c>
      <c r="V223">
        <f t="shared" si="177"/>
        <v>0</v>
      </c>
      <c r="W223">
        <f t="shared" si="178"/>
        <v>0</v>
      </c>
      <c r="X223">
        <f t="shared" si="179"/>
        <v>2835.5</v>
      </c>
      <c r="Y223">
        <f t="shared" si="180"/>
        <v>405.07</v>
      </c>
      <c r="AA223">
        <v>-1</v>
      </c>
      <c r="AB223">
        <f t="shared" si="181"/>
        <v>506.34</v>
      </c>
      <c r="AC223">
        <f>ROUND((ES223),6)</f>
        <v>0</v>
      </c>
      <c r="AD223">
        <f t="shared" si="203"/>
        <v>0</v>
      </c>
      <c r="AE223">
        <f t="shared" si="205"/>
        <v>0</v>
      </c>
      <c r="AF223">
        <f>ROUND((EV223),6)</f>
        <v>506.34</v>
      </c>
      <c r="AG223">
        <f t="shared" si="182"/>
        <v>0</v>
      </c>
      <c r="AH223">
        <f>(EW223)</f>
        <v>0.82</v>
      </c>
      <c r="AI223">
        <f t="shared" si="206"/>
        <v>0</v>
      </c>
      <c r="AJ223">
        <f t="shared" si="183"/>
        <v>0</v>
      </c>
      <c r="AK223">
        <v>506.34</v>
      </c>
      <c r="AL223">
        <v>0</v>
      </c>
      <c r="AM223">
        <v>0</v>
      </c>
      <c r="AN223">
        <v>0</v>
      </c>
      <c r="AO223">
        <v>506.34</v>
      </c>
      <c r="AP223">
        <v>0</v>
      </c>
      <c r="AQ223">
        <v>0.82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40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184"/>
        <v>4050.72</v>
      </c>
      <c r="CQ223">
        <f t="shared" si="185"/>
        <v>0</v>
      </c>
      <c r="CR223">
        <f t="shared" si="204"/>
        <v>0</v>
      </c>
      <c r="CS223">
        <f t="shared" si="186"/>
        <v>0</v>
      </c>
      <c r="CT223">
        <f t="shared" si="187"/>
        <v>506.34</v>
      </c>
      <c r="CU223">
        <f t="shared" si="188"/>
        <v>0</v>
      </c>
      <c r="CV223">
        <f t="shared" si="189"/>
        <v>0.82</v>
      </c>
      <c r="CW223">
        <f t="shared" si="190"/>
        <v>0</v>
      </c>
      <c r="CX223">
        <f t="shared" si="191"/>
        <v>0</v>
      </c>
      <c r="CY223">
        <f t="shared" si="192"/>
        <v>2835.5039999999995</v>
      </c>
      <c r="CZ223">
        <f t="shared" si="193"/>
        <v>405.07199999999995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16987630</v>
      </c>
      <c r="DV223" t="s">
        <v>39</v>
      </c>
      <c r="DW223" t="s">
        <v>39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21</v>
      </c>
      <c r="EH223">
        <v>0</v>
      </c>
      <c r="EI223" t="s">
        <v>3</v>
      </c>
      <c r="EJ223">
        <v>4</v>
      </c>
      <c r="EK223">
        <v>0</v>
      </c>
      <c r="EL223" t="s">
        <v>22</v>
      </c>
      <c r="EM223" t="s">
        <v>23</v>
      </c>
      <c r="EO223" t="s">
        <v>3</v>
      </c>
      <c r="EQ223">
        <v>1311744</v>
      </c>
      <c r="ER223">
        <v>506.34</v>
      </c>
      <c r="ES223">
        <v>0</v>
      </c>
      <c r="ET223">
        <v>0</v>
      </c>
      <c r="EU223">
        <v>0</v>
      </c>
      <c r="EV223">
        <v>506.34</v>
      </c>
      <c r="EW223">
        <v>0.82</v>
      </c>
      <c r="EX223">
        <v>0</v>
      </c>
      <c r="EY223">
        <v>0</v>
      </c>
      <c r="FQ223">
        <v>0</v>
      </c>
      <c r="FR223">
        <f t="shared" si="194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1354931498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 t="shared" si="195"/>
        <v>0</v>
      </c>
      <c r="GM223">
        <f t="shared" si="196"/>
        <v>7291.29</v>
      </c>
      <c r="GN223">
        <f t="shared" si="197"/>
        <v>0</v>
      </c>
      <c r="GO223">
        <f t="shared" si="198"/>
        <v>0</v>
      </c>
      <c r="GP223">
        <f t="shared" si="199"/>
        <v>7291.29</v>
      </c>
      <c r="GR223">
        <v>0</v>
      </c>
      <c r="GS223">
        <v>3</v>
      </c>
      <c r="GT223">
        <v>0</v>
      </c>
      <c r="GU223" t="s">
        <v>3</v>
      </c>
      <c r="GV223">
        <f t="shared" si="200"/>
        <v>0</v>
      </c>
      <c r="GW223">
        <v>1</v>
      </c>
      <c r="GX223">
        <f t="shared" si="201"/>
        <v>0</v>
      </c>
      <c r="HA223">
        <v>0</v>
      </c>
      <c r="HB223">
        <v>0</v>
      </c>
      <c r="HC223">
        <f t="shared" si="202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ROW(EtalonRes!A120)</f>
        <v>120</v>
      </c>
      <c r="E224" t="s">
        <v>249</v>
      </c>
      <c r="F224" t="s">
        <v>42</v>
      </c>
      <c r="G224" t="s">
        <v>43</v>
      </c>
      <c r="H224" t="s">
        <v>39</v>
      </c>
      <c r="I224">
        <f>ROUND((2)*4,9)</f>
        <v>8</v>
      </c>
      <c r="J224">
        <v>0</v>
      </c>
      <c r="K224">
        <f>ROUND((2)*4,9)</f>
        <v>8</v>
      </c>
      <c r="O224">
        <f t="shared" si="170"/>
        <v>2289.44</v>
      </c>
      <c r="P224">
        <f t="shared" si="171"/>
        <v>0</v>
      </c>
      <c r="Q224">
        <f t="shared" si="172"/>
        <v>625.44000000000005</v>
      </c>
      <c r="R224">
        <f t="shared" si="173"/>
        <v>396.56</v>
      </c>
      <c r="S224">
        <f t="shared" si="174"/>
        <v>1664</v>
      </c>
      <c r="T224">
        <f t="shared" si="175"/>
        <v>0</v>
      </c>
      <c r="U224">
        <f t="shared" si="176"/>
        <v>2.96</v>
      </c>
      <c r="V224">
        <f t="shared" si="177"/>
        <v>0</v>
      </c>
      <c r="W224">
        <f t="shared" si="178"/>
        <v>0</v>
      </c>
      <c r="X224">
        <f t="shared" si="179"/>
        <v>1164.8</v>
      </c>
      <c r="Y224">
        <f t="shared" si="180"/>
        <v>166.4</v>
      </c>
      <c r="AA224">
        <v>1471531721</v>
      </c>
      <c r="AB224">
        <f t="shared" si="181"/>
        <v>286.18</v>
      </c>
      <c r="AC224">
        <f>ROUND((ES224),6)</f>
        <v>0</v>
      </c>
      <c r="AD224">
        <f t="shared" si="203"/>
        <v>78.180000000000007</v>
      </c>
      <c r="AE224">
        <f t="shared" si="205"/>
        <v>49.57</v>
      </c>
      <c r="AF224">
        <f>ROUND((EV224),6)</f>
        <v>208</v>
      </c>
      <c r="AG224">
        <f t="shared" si="182"/>
        <v>0</v>
      </c>
      <c r="AH224">
        <f>(EW224)</f>
        <v>0.37</v>
      </c>
      <c r="AI224">
        <f t="shared" si="206"/>
        <v>0</v>
      </c>
      <c r="AJ224">
        <f t="shared" si="183"/>
        <v>0</v>
      </c>
      <c r="AK224">
        <v>286.18</v>
      </c>
      <c r="AL224">
        <v>0</v>
      </c>
      <c r="AM224">
        <v>78.180000000000007</v>
      </c>
      <c r="AN224">
        <v>49.57</v>
      </c>
      <c r="AO224">
        <v>208</v>
      </c>
      <c r="AP224">
        <v>0</v>
      </c>
      <c r="AQ224">
        <v>0.37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44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184"/>
        <v>2289.44</v>
      </c>
      <c r="CQ224">
        <f t="shared" si="185"/>
        <v>0</v>
      </c>
      <c r="CR224">
        <f t="shared" si="204"/>
        <v>78.180000000000007</v>
      </c>
      <c r="CS224">
        <f t="shared" si="186"/>
        <v>49.57</v>
      </c>
      <c r="CT224">
        <f t="shared" si="187"/>
        <v>208</v>
      </c>
      <c r="CU224">
        <f t="shared" si="188"/>
        <v>0</v>
      </c>
      <c r="CV224">
        <f t="shared" si="189"/>
        <v>0.37</v>
      </c>
      <c r="CW224">
        <f t="shared" si="190"/>
        <v>0</v>
      </c>
      <c r="CX224">
        <f t="shared" si="191"/>
        <v>0</v>
      </c>
      <c r="CY224">
        <f t="shared" si="192"/>
        <v>1164.8</v>
      </c>
      <c r="CZ224">
        <f t="shared" si="193"/>
        <v>166.4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39</v>
      </c>
      <c r="DW224" t="s">
        <v>39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21</v>
      </c>
      <c r="EH224">
        <v>0</v>
      </c>
      <c r="EI224" t="s">
        <v>3</v>
      </c>
      <c r="EJ224">
        <v>4</v>
      </c>
      <c r="EK224">
        <v>0</v>
      </c>
      <c r="EL224" t="s">
        <v>22</v>
      </c>
      <c r="EM224" t="s">
        <v>23</v>
      </c>
      <c r="EO224" t="s">
        <v>3</v>
      </c>
      <c r="EQ224">
        <v>0</v>
      </c>
      <c r="ER224">
        <v>286.18</v>
      </c>
      <c r="ES224">
        <v>0</v>
      </c>
      <c r="ET224">
        <v>78.180000000000007</v>
      </c>
      <c r="EU224">
        <v>49.57</v>
      </c>
      <c r="EV224">
        <v>208</v>
      </c>
      <c r="EW224">
        <v>0.37</v>
      </c>
      <c r="EX224">
        <v>0</v>
      </c>
      <c r="EY224">
        <v>0</v>
      </c>
      <c r="FQ224">
        <v>0</v>
      </c>
      <c r="FR224">
        <f t="shared" si="194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1694456522</v>
      </c>
      <c r="GG224">
        <v>2</v>
      </c>
      <c r="GH224">
        <v>1</v>
      </c>
      <c r="GI224">
        <v>-2</v>
      </c>
      <c r="GJ224">
        <v>0</v>
      </c>
      <c r="GK224">
        <f>ROUND(R224*(R12)/100,2)</f>
        <v>428.28</v>
      </c>
      <c r="GL224">
        <f t="shared" si="195"/>
        <v>0</v>
      </c>
      <c r="GM224">
        <f t="shared" si="196"/>
        <v>4048.92</v>
      </c>
      <c r="GN224">
        <f t="shared" si="197"/>
        <v>0</v>
      </c>
      <c r="GO224">
        <f t="shared" si="198"/>
        <v>0</v>
      </c>
      <c r="GP224">
        <f t="shared" si="199"/>
        <v>4048.92</v>
      </c>
      <c r="GR224">
        <v>0</v>
      </c>
      <c r="GS224">
        <v>3</v>
      </c>
      <c r="GT224">
        <v>0</v>
      </c>
      <c r="GU224" t="s">
        <v>3</v>
      </c>
      <c r="GV224">
        <f t="shared" si="200"/>
        <v>0</v>
      </c>
      <c r="GW224">
        <v>1</v>
      </c>
      <c r="GX224">
        <f t="shared" si="201"/>
        <v>0</v>
      </c>
      <c r="HA224">
        <v>0</v>
      </c>
      <c r="HB224">
        <v>0</v>
      </c>
      <c r="HC224">
        <f t="shared" si="202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D225">
        <f>ROW(EtalonRes!A121)</f>
        <v>121</v>
      </c>
      <c r="E225" t="s">
        <v>250</v>
      </c>
      <c r="F225" t="s">
        <v>46</v>
      </c>
      <c r="G225" t="s">
        <v>47</v>
      </c>
      <c r="H225" t="s">
        <v>48</v>
      </c>
      <c r="I225">
        <f>ROUND(2*4/100,9)</f>
        <v>0.08</v>
      </c>
      <c r="J225">
        <v>0</v>
      </c>
      <c r="K225">
        <f>ROUND(2*4/100,9)</f>
        <v>0.08</v>
      </c>
      <c r="O225">
        <f t="shared" si="170"/>
        <v>1271.69</v>
      </c>
      <c r="P225">
        <f t="shared" si="171"/>
        <v>0</v>
      </c>
      <c r="Q225">
        <f t="shared" si="172"/>
        <v>0</v>
      </c>
      <c r="R225">
        <f t="shared" si="173"/>
        <v>0</v>
      </c>
      <c r="S225">
        <f t="shared" si="174"/>
        <v>1271.69</v>
      </c>
      <c r="T225">
        <f t="shared" si="175"/>
        <v>0</v>
      </c>
      <c r="U225">
        <f t="shared" si="176"/>
        <v>2.1360000000000001</v>
      </c>
      <c r="V225">
        <f t="shared" si="177"/>
        <v>0</v>
      </c>
      <c r="W225">
        <f t="shared" si="178"/>
        <v>0</v>
      </c>
      <c r="X225">
        <f t="shared" si="179"/>
        <v>890.18</v>
      </c>
      <c r="Y225">
        <f t="shared" si="180"/>
        <v>127.17</v>
      </c>
      <c r="AA225">
        <v>1471531721</v>
      </c>
      <c r="AB225">
        <f t="shared" si="181"/>
        <v>15896.11</v>
      </c>
      <c r="AC225">
        <f>ROUND((ES225),6)</f>
        <v>0</v>
      </c>
      <c r="AD225">
        <f t="shared" si="203"/>
        <v>0</v>
      </c>
      <c r="AE225">
        <f t="shared" si="205"/>
        <v>0</v>
      </c>
      <c r="AF225">
        <f>ROUND((EV225),6)</f>
        <v>15896.11</v>
      </c>
      <c r="AG225">
        <f t="shared" si="182"/>
        <v>0</v>
      </c>
      <c r="AH225">
        <f>(EW225)</f>
        <v>26.7</v>
      </c>
      <c r="AI225">
        <f t="shared" si="206"/>
        <v>0</v>
      </c>
      <c r="AJ225">
        <f t="shared" si="183"/>
        <v>0</v>
      </c>
      <c r="AK225">
        <v>15896.11</v>
      </c>
      <c r="AL225">
        <v>0</v>
      </c>
      <c r="AM225">
        <v>0</v>
      </c>
      <c r="AN225">
        <v>0</v>
      </c>
      <c r="AO225">
        <v>15896.11</v>
      </c>
      <c r="AP225">
        <v>0</v>
      </c>
      <c r="AQ225">
        <v>26.7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49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184"/>
        <v>1271.69</v>
      </c>
      <c r="CQ225">
        <f t="shared" si="185"/>
        <v>0</v>
      </c>
      <c r="CR225">
        <f t="shared" si="204"/>
        <v>0</v>
      </c>
      <c r="CS225">
        <f t="shared" si="186"/>
        <v>0</v>
      </c>
      <c r="CT225">
        <f t="shared" si="187"/>
        <v>15896.11</v>
      </c>
      <c r="CU225">
        <f t="shared" si="188"/>
        <v>0</v>
      </c>
      <c r="CV225">
        <f t="shared" si="189"/>
        <v>26.7</v>
      </c>
      <c r="CW225">
        <f t="shared" si="190"/>
        <v>0</v>
      </c>
      <c r="CX225">
        <f t="shared" si="191"/>
        <v>0</v>
      </c>
      <c r="CY225">
        <f t="shared" si="192"/>
        <v>890.18299999999999</v>
      </c>
      <c r="CZ225">
        <f t="shared" si="193"/>
        <v>127.16900000000001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1013</v>
      </c>
      <c r="DV225" t="s">
        <v>48</v>
      </c>
      <c r="DW225" t="s">
        <v>48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1441815344</v>
      </c>
      <c r="EF225">
        <v>1</v>
      </c>
      <c r="EG225" t="s">
        <v>21</v>
      </c>
      <c r="EH225">
        <v>0</v>
      </c>
      <c r="EI225" t="s">
        <v>3</v>
      </c>
      <c r="EJ225">
        <v>4</v>
      </c>
      <c r="EK225">
        <v>0</v>
      </c>
      <c r="EL225" t="s">
        <v>22</v>
      </c>
      <c r="EM225" t="s">
        <v>23</v>
      </c>
      <c r="EO225" t="s">
        <v>3</v>
      </c>
      <c r="EQ225">
        <v>0</v>
      </c>
      <c r="ER225">
        <v>15896.11</v>
      </c>
      <c r="ES225">
        <v>0</v>
      </c>
      <c r="ET225">
        <v>0</v>
      </c>
      <c r="EU225">
        <v>0</v>
      </c>
      <c r="EV225">
        <v>15896.11</v>
      </c>
      <c r="EW225">
        <v>26.7</v>
      </c>
      <c r="EX225">
        <v>0</v>
      </c>
      <c r="EY225">
        <v>0</v>
      </c>
      <c r="FQ225">
        <v>0</v>
      </c>
      <c r="FR225">
        <f t="shared" si="194"/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-1089660975</v>
      </c>
      <c r="GG225">
        <v>2</v>
      </c>
      <c r="GH225">
        <v>1</v>
      </c>
      <c r="GI225">
        <v>-2</v>
      </c>
      <c r="GJ225">
        <v>0</v>
      </c>
      <c r="GK225">
        <f>ROUND(R225*(R12)/100,2)</f>
        <v>0</v>
      </c>
      <c r="GL225">
        <f t="shared" si="195"/>
        <v>0</v>
      </c>
      <c r="GM225">
        <f t="shared" si="196"/>
        <v>2289.04</v>
      </c>
      <c r="GN225">
        <f t="shared" si="197"/>
        <v>0</v>
      </c>
      <c r="GO225">
        <f t="shared" si="198"/>
        <v>0</v>
      </c>
      <c r="GP225">
        <f t="shared" si="199"/>
        <v>2289.04</v>
      </c>
      <c r="GR225">
        <v>0</v>
      </c>
      <c r="GS225">
        <v>3</v>
      </c>
      <c r="GT225">
        <v>0</v>
      </c>
      <c r="GU225" t="s">
        <v>3</v>
      </c>
      <c r="GV225">
        <f t="shared" si="200"/>
        <v>0</v>
      </c>
      <c r="GW225">
        <v>1</v>
      </c>
      <c r="GX225">
        <f t="shared" si="201"/>
        <v>0</v>
      </c>
      <c r="HA225">
        <v>0</v>
      </c>
      <c r="HB225">
        <v>0</v>
      </c>
      <c r="HC225">
        <f t="shared" si="202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D226">
        <f>ROW(EtalonRes!A123)</f>
        <v>123</v>
      </c>
      <c r="E226" t="s">
        <v>251</v>
      </c>
      <c r="F226" t="s">
        <v>51</v>
      </c>
      <c r="G226" t="s">
        <v>52</v>
      </c>
      <c r="H226" t="s">
        <v>31</v>
      </c>
      <c r="I226">
        <f>ROUND(2*4/100,9)</f>
        <v>0.08</v>
      </c>
      <c r="J226">
        <v>0</v>
      </c>
      <c r="K226">
        <f>ROUND(2*4/100,9)</f>
        <v>0.08</v>
      </c>
      <c r="O226">
        <f t="shared" si="170"/>
        <v>1155.6500000000001</v>
      </c>
      <c r="P226">
        <f t="shared" si="171"/>
        <v>19.489999999999998</v>
      </c>
      <c r="Q226">
        <f t="shared" si="172"/>
        <v>0</v>
      </c>
      <c r="R226">
        <f t="shared" si="173"/>
        <v>0</v>
      </c>
      <c r="S226">
        <f t="shared" si="174"/>
        <v>1136.1600000000001</v>
      </c>
      <c r="T226">
        <f t="shared" si="175"/>
        <v>0</v>
      </c>
      <c r="U226">
        <f t="shared" si="176"/>
        <v>2.2416</v>
      </c>
      <c r="V226">
        <f t="shared" si="177"/>
        <v>0</v>
      </c>
      <c r="W226">
        <f t="shared" si="178"/>
        <v>0</v>
      </c>
      <c r="X226">
        <f t="shared" si="179"/>
        <v>795.31</v>
      </c>
      <c r="Y226">
        <f t="shared" si="180"/>
        <v>113.62</v>
      </c>
      <c r="AA226">
        <v>1471531721</v>
      </c>
      <c r="AB226">
        <f t="shared" si="181"/>
        <v>14445.51</v>
      </c>
      <c r="AC226">
        <f>ROUND((ES226),6)</f>
        <v>243.57</v>
      </c>
      <c r="AD226">
        <f t="shared" si="203"/>
        <v>0</v>
      </c>
      <c r="AE226">
        <f t="shared" si="205"/>
        <v>0</v>
      </c>
      <c r="AF226">
        <f>ROUND((EV226),6)</f>
        <v>14201.94</v>
      </c>
      <c r="AG226">
        <f t="shared" si="182"/>
        <v>0</v>
      </c>
      <c r="AH226">
        <f>(EW226)</f>
        <v>28.02</v>
      </c>
      <c r="AI226">
        <f t="shared" si="206"/>
        <v>0</v>
      </c>
      <c r="AJ226">
        <f t="shared" si="183"/>
        <v>0</v>
      </c>
      <c r="AK226">
        <v>14445.51</v>
      </c>
      <c r="AL226">
        <v>243.57</v>
      </c>
      <c r="AM226">
        <v>0</v>
      </c>
      <c r="AN226">
        <v>0</v>
      </c>
      <c r="AO226">
        <v>14201.94</v>
      </c>
      <c r="AP226">
        <v>0</v>
      </c>
      <c r="AQ226">
        <v>28.02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53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184"/>
        <v>1155.6500000000001</v>
      </c>
      <c r="CQ226">
        <f t="shared" si="185"/>
        <v>243.57</v>
      </c>
      <c r="CR226">
        <f t="shared" si="204"/>
        <v>0</v>
      </c>
      <c r="CS226">
        <f t="shared" si="186"/>
        <v>0</v>
      </c>
      <c r="CT226">
        <f t="shared" si="187"/>
        <v>14201.94</v>
      </c>
      <c r="CU226">
        <f t="shared" si="188"/>
        <v>0</v>
      </c>
      <c r="CV226">
        <f t="shared" si="189"/>
        <v>28.02</v>
      </c>
      <c r="CW226">
        <f t="shared" si="190"/>
        <v>0</v>
      </c>
      <c r="CX226">
        <f t="shared" si="191"/>
        <v>0</v>
      </c>
      <c r="CY226">
        <f t="shared" si="192"/>
        <v>795.31200000000013</v>
      </c>
      <c r="CZ226">
        <f t="shared" si="193"/>
        <v>113.616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16987630</v>
      </c>
      <c r="DV226" t="s">
        <v>31</v>
      </c>
      <c r="DW226" t="s">
        <v>31</v>
      </c>
      <c r="DX226">
        <v>100</v>
      </c>
      <c r="DZ226" t="s">
        <v>3</v>
      </c>
      <c r="EA226" t="s">
        <v>3</v>
      </c>
      <c r="EB226" t="s">
        <v>3</v>
      </c>
      <c r="EC226" t="s">
        <v>3</v>
      </c>
      <c r="EE226">
        <v>1441815344</v>
      </c>
      <c r="EF226">
        <v>1</v>
      </c>
      <c r="EG226" t="s">
        <v>21</v>
      </c>
      <c r="EH226">
        <v>0</v>
      </c>
      <c r="EI226" t="s">
        <v>3</v>
      </c>
      <c r="EJ226">
        <v>4</v>
      </c>
      <c r="EK226">
        <v>0</v>
      </c>
      <c r="EL226" t="s">
        <v>22</v>
      </c>
      <c r="EM226" t="s">
        <v>23</v>
      </c>
      <c r="EO226" t="s">
        <v>3</v>
      </c>
      <c r="EQ226">
        <v>0</v>
      </c>
      <c r="ER226">
        <v>14445.51</v>
      </c>
      <c r="ES226">
        <v>243.57</v>
      </c>
      <c r="ET226">
        <v>0</v>
      </c>
      <c r="EU226">
        <v>0</v>
      </c>
      <c r="EV226">
        <v>14201.94</v>
      </c>
      <c r="EW226">
        <v>28.02</v>
      </c>
      <c r="EX226">
        <v>0</v>
      </c>
      <c r="EY226">
        <v>0</v>
      </c>
      <c r="FQ226">
        <v>0</v>
      </c>
      <c r="FR226">
        <f t="shared" si="194"/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1586733399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 t="shared" si="195"/>
        <v>0</v>
      </c>
      <c r="GM226">
        <f t="shared" si="196"/>
        <v>2064.58</v>
      </c>
      <c r="GN226">
        <f t="shared" si="197"/>
        <v>0</v>
      </c>
      <c r="GO226">
        <f t="shared" si="198"/>
        <v>0</v>
      </c>
      <c r="GP226">
        <f t="shared" si="199"/>
        <v>2064.58</v>
      </c>
      <c r="GR226">
        <v>0</v>
      </c>
      <c r="GS226">
        <v>3</v>
      </c>
      <c r="GT226">
        <v>0</v>
      </c>
      <c r="GU226" t="s">
        <v>3</v>
      </c>
      <c r="GV226">
        <f t="shared" si="200"/>
        <v>0</v>
      </c>
      <c r="GW226">
        <v>1</v>
      </c>
      <c r="GX226">
        <f t="shared" si="201"/>
        <v>0</v>
      </c>
      <c r="HA226">
        <v>0</v>
      </c>
      <c r="HB226">
        <v>0</v>
      </c>
      <c r="HC226">
        <f t="shared" si="202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D227">
        <f>ROW(EtalonRes!A124)</f>
        <v>124</v>
      </c>
      <c r="E227" t="s">
        <v>3</v>
      </c>
      <c r="F227" t="s">
        <v>54</v>
      </c>
      <c r="G227" t="s">
        <v>55</v>
      </c>
      <c r="H227" t="s">
        <v>39</v>
      </c>
      <c r="I227">
        <v>8</v>
      </c>
      <c r="J227">
        <v>0</v>
      </c>
      <c r="K227">
        <v>8</v>
      </c>
      <c r="O227">
        <f t="shared" si="170"/>
        <v>2568.64</v>
      </c>
      <c r="P227">
        <f t="shared" si="171"/>
        <v>0</v>
      </c>
      <c r="Q227">
        <f t="shared" si="172"/>
        <v>0</v>
      </c>
      <c r="R227">
        <f t="shared" si="173"/>
        <v>0</v>
      </c>
      <c r="S227">
        <f t="shared" si="174"/>
        <v>2568.64</v>
      </c>
      <c r="T227">
        <f t="shared" si="175"/>
        <v>0</v>
      </c>
      <c r="U227">
        <f t="shared" si="176"/>
        <v>4.16</v>
      </c>
      <c r="V227">
        <f t="shared" si="177"/>
        <v>0</v>
      </c>
      <c r="W227">
        <f t="shared" si="178"/>
        <v>0</v>
      </c>
      <c r="X227">
        <f t="shared" si="179"/>
        <v>1798.05</v>
      </c>
      <c r="Y227">
        <f t="shared" si="180"/>
        <v>256.86</v>
      </c>
      <c r="AA227">
        <v>-1</v>
      </c>
      <c r="AB227">
        <f t="shared" si="181"/>
        <v>321.08</v>
      </c>
      <c r="AC227">
        <f>ROUND(((ES227*4)),6)</f>
        <v>0</v>
      </c>
      <c r="AD227">
        <f>ROUND(((((ET227*4))-((EU227*4)))+AE227),6)</f>
        <v>0</v>
      </c>
      <c r="AE227">
        <f>ROUND(((EU227*4)),6)</f>
        <v>0</v>
      </c>
      <c r="AF227">
        <f>ROUND(((EV227*4)),6)</f>
        <v>321.08</v>
      </c>
      <c r="AG227">
        <f t="shared" si="182"/>
        <v>0</v>
      </c>
      <c r="AH227">
        <f>((EW227*4))</f>
        <v>0.52</v>
      </c>
      <c r="AI227">
        <f>((EX227*4))</f>
        <v>0</v>
      </c>
      <c r="AJ227">
        <f t="shared" si="183"/>
        <v>0</v>
      </c>
      <c r="AK227">
        <v>80.27</v>
      </c>
      <c r="AL227">
        <v>0</v>
      </c>
      <c r="AM227">
        <v>0</v>
      </c>
      <c r="AN227">
        <v>0</v>
      </c>
      <c r="AO227">
        <v>80.27</v>
      </c>
      <c r="AP227">
        <v>0</v>
      </c>
      <c r="AQ227">
        <v>0.13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56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184"/>
        <v>2568.64</v>
      </c>
      <c r="CQ227">
        <f t="shared" si="185"/>
        <v>0</v>
      </c>
      <c r="CR227">
        <f>(((((ET227*4))*BB227-((EU227*4))*BS227)+AE227*BS227)*AV227)</f>
        <v>0</v>
      </c>
      <c r="CS227">
        <f t="shared" si="186"/>
        <v>0</v>
      </c>
      <c r="CT227">
        <f t="shared" si="187"/>
        <v>321.08</v>
      </c>
      <c r="CU227">
        <f t="shared" si="188"/>
        <v>0</v>
      </c>
      <c r="CV227">
        <f t="shared" si="189"/>
        <v>0.52</v>
      </c>
      <c r="CW227">
        <f t="shared" si="190"/>
        <v>0</v>
      </c>
      <c r="CX227">
        <f t="shared" si="191"/>
        <v>0</v>
      </c>
      <c r="CY227">
        <f t="shared" si="192"/>
        <v>1798.0479999999998</v>
      </c>
      <c r="CZ227">
        <f t="shared" si="193"/>
        <v>256.86399999999998</v>
      </c>
      <c r="DC227" t="s">
        <v>3</v>
      </c>
      <c r="DD227" t="s">
        <v>57</v>
      </c>
      <c r="DE227" t="s">
        <v>57</v>
      </c>
      <c r="DF227" t="s">
        <v>57</v>
      </c>
      <c r="DG227" t="s">
        <v>57</v>
      </c>
      <c r="DH227" t="s">
        <v>3</v>
      </c>
      <c r="DI227" t="s">
        <v>57</v>
      </c>
      <c r="DJ227" t="s">
        <v>57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16987630</v>
      </c>
      <c r="DV227" t="s">
        <v>39</v>
      </c>
      <c r="DW227" t="s">
        <v>39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1441815344</v>
      </c>
      <c r="EF227">
        <v>1</v>
      </c>
      <c r="EG227" t="s">
        <v>21</v>
      </c>
      <c r="EH227">
        <v>0</v>
      </c>
      <c r="EI227" t="s">
        <v>3</v>
      </c>
      <c r="EJ227">
        <v>4</v>
      </c>
      <c r="EK227">
        <v>0</v>
      </c>
      <c r="EL227" t="s">
        <v>22</v>
      </c>
      <c r="EM227" t="s">
        <v>23</v>
      </c>
      <c r="EO227" t="s">
        <v>3</v>
      </c>
      <c r="EQ227">
        <v>1024</v>
      </c>
      <c r="ER227">
        <v>80.27</v>
      </c>
      <c r="ES227">
        <v>0</v>
      </c>
      <c r="ET227">
        <v>0</v>
      </c>
      <c r="EU227">
        <v>0</v>
      </c>
      <c r="EV227">
        <v>80.27</v>
      </c>
      <c r="EW227">
        <v>0.13</v>
      </c>
      <c r="EX227">
        <v>0</v>
      </c>
      <c r="EY227">
        <v>0</v>
      </c>
      <c r="FQ227">
        <v>0</v>
      </c>
      <c r="FR227">
        <f t="shared" si="194"/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1384570016</v>
      </c>
      <c r="GG227">
        <v>2</v>
      </c>
      <c r="GH227">
        <v>1</v>
      </c>
      <c r="GI227">
        <v>-2</v>
      </c>
      <c r="GJ227">
        <v>0</v>
      </c>
      <c r="GK227">
        <f>ROUND(R227*(R12)/100,2)</f>
        <v>0</v>
      </c>
      <c r="GL227">
        <f t="shared" si="195"/>
        <v>0</v>
      </c>
      <c r="GM227">
        <f t="shared" si="196"/>
        <v>4623.55</v>
      </c>
      <c r="GN227">
        <f t="shared" si="197"/>
        <v>0</v>
      </c>
      <c r="GO227">
        <f t="shared" si="198"/>
        <v>0</v>
      </c>
      <c r="GP227">
        <f t="shared" si="199"/>
        <v>4623.55</v>
      </c>
      <c r="GR227">
        <v>0</v>
      </c>
      <c r="GS227">
        <v>3</v>
      </c>
      <c r="GT227">
        <v>0</v>
      </c>
      <c r="GU227" t="s">
        <v>3</v>
      </c>
      <c r="GV227">
        <f t="shared" si="200"/>
        <v>0</v>
      </c>
      <c r="GW227">
        <v>1</v>
      </c>
      <c r="GX227">
        <f t="shared" si="201"/>
        <v>0</v>
      </c>
      <c r="HA227">
        <v>0</v>
      </c>
      <c r="HB227">
        <v>0</v>
      </c>
      <c r="HC227">
        <f t="shared" si="202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D228">
        <f>ROW(EtalonRes!A128)</f>
        <v>128</v>
      </c>
      <c r="E228" t="s">
        <v>3</v>
      </c>
      <c r="F228" t="s">
        <v>58</v>
      </c>
      <c r="G228" t="s">
        <v>59</v>
      </c>
      <c r="H228" t="s">
        <v>60</v>
      </c>
      <c r="I228">
        <f>ROUND((9)*4*0.1/100,9)</f>
        <v>3.5999999999999997E-2</v>
      </c>
      <c r="J228">
        <v>0</v>
      </c>
      <c r="K228">
        <f>ROUND((9)*4*0.1/100,9)</f>
        <v>3.5999999999999997E-2</v>
      </c>
      <c r="O228">
        <f t="shared" si="170"/>
        <v>608.66999999999996</v>
      </c>
      <c r="P228">
        <f t="shared" si="171"/>
        <v>98.22</v>
      </c>
      <c r="Q228">
        <f t="shared" si="172"/>
        <v>0</v>
      </c>
      <c r="R228">
        <f t="shared" si="173"/>
        <v>0</v>
      </c>
      <c r="S228">
        <f t="shared" si="174"/>
        <v>510.45</v>
      </c>
      <c r="T228">
        <f t="shared" si="175"/>
        <v>0</v>
      </c>
      <c r="U228">
        <f t="shared" si="176"/>
        <v>1.0634399999999999</v>
      </c>
      <c r="V228">
        <f t="shared" si="177"/>
        <v>0</v>
      </c>
      <c r="W228">
        <f t="shared" si="178"/>
        <v>0</v>
      </c>
      <c r="X228">
        <f t="shared" si="179"/>
        <v>357.32</v>
      </c>
      <c r="Y228">
        <f t="shared" si="180"/>
        <v>51.05</v>
      </c>
      <c r="AA228">
        <v>-1</v>
      </c>
      <c r="AB228">
        <f t="shared" si="181"/>
        <v>16907.419999999998</v>
      </c>
      <c r="AC228">
        <f>ROUND((ES228),6)</f>
        <v>2728.22</v>
      </c>
      <c r="AD228">
        <f>ROUND((((ET228)-(EU228))+AE228),6)</f>
        <v>0</v>
      </c>
      <c r="AE228">
        <f>ROUND((EU228),6)</f>
        <v>0</v>
      </c>
      <c r="AF228">
        <f>ROUND((EV228),6)</f>
        <v>14179.2</v>
      </c>
      <c r="AG228">
        <f t="shared" si="182"/>
        <v>0</v>
      </c>
      <c r="AH228">
        <f>(EW228)</f>
        <v>29.54</v>
      </c>
      <c r="AI228">
        <f>(EX228)</f>
        <v>0</v>
      </c>
      <c r="AJ228">
        <f t="shared" si="183"/>
        <v>0</v>
      </c>
      <c r="AK228">
        <v>16907.419999999998</v>
      </c>
      <c r="AL228">
        <v>2728.22</v>
      </c>
      <c r="AM228">
        <v>0</v>
      </c>
      <c r="AN228">
        <v>0</v>
      </c>
      <c r="AO228">
        <v>14179.2</v>
      </c>
      <c r="AP228">
        <v>0</v>
      </c>
      <c r="AQ228">
        <v>29.54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61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184"/>
        <v>608.66999999999996</v>
      </c>
      <c r="CQ228">
        <f t="shared" si="185"/>
        <v>2728.22</v>
      </c>
      <c r="CR228">
        <f>((((ET228)*BB228-(EU228)*BS228)+AE228*BS228)*AV228)</f>
        <v>0</v>
      </c>
      <c r="CS228">
        <f t="shared" si="186"/>
        <v>0</v>
      </c>
      <c r="CT228">
        <f t="shared" si="187"/>
        <v>14179.2</v>
      </c>
      <c r="CU228">
        <f t="shared" si="188"/>
        <v>0</v>
      </c>
      <c r="CV228">
        <f t="shared" si="189"/>
        <v>29.54</v>
      </c>
      <c r="CW228">
        <f t="shared" si="190"/>
        <v>0</v>
      </c>
      <c r="CX228">
        <f t="shared" si="191"/>
        <v>0</v>
      </c>
      <c r="CY228">
        <f t="shared" si="192"/>
        <v>357.315</v>
      </c>
      <c r="CZ228">
        <f t="shared" si="193"/>
        <v>51.045000000000002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1003</v>
      </c>
      <c r="DV228" t="s">
        <v>60</v>
      </c>
      <c r="DW228" t="s">
        <v>60</v>
      </c>
      <c r="DX228">
        <v>100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21</v>
      </c>
      <c r="EH228">
        <v>0</v>
      </c>
      <c r="EI228" t="s">
        <v>3</v>
      </c>
      <c r="EJ228">
        <v>4</v>
      </c>
      <c r="EK228">
        <v>0</v>
      </c>
      <c r="EL228" t="s">
        <v>22</v>
      </c>
      <c r="EM228" t="s">
        <v>23</v>
      </c>
      <c r="EO228" t="s">
        <v>3</v>
      </c>
      <c r="EQ228">
        <v>1311744</v>
      </c>
      <c r="ER228">
        <v>16907.419999999998</v>
      </c>
      <c r="ES228">
        <v>2728.22</v>
      </c>
      <c r="ET228">
        <v>0</v>
      </c>
      <c r="EU228">
        <v>0</v>
      </c>
      <c r="EV228">
        <v>14179.2</v>
      </c>
      <c r="EW228">
        <v>29.54</v>
      </c>
      <c r="EX228">
        <v>0</v>
      </c>
      <c r="EY228">
        <v>0</v>
      </c>
      <c r="FQ228">
        <v>0</v>
      </c>
      <c r="FR228">
        <f t="shared" si="194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-317825441</v>
      </c>
      <c r="GG228">
        <v>2</v>
      </c>
      <c r="GH228">
        <v>1</v>
      </c>
      <c r="GI228">
        <v>-2</v>
      </c>
      <c r="GJ228">
        <v>0</v>
      </c>
      <c r="GK228">
        <f>ROUND(R228*(R12)/100,2)</f>
        <v>0</v>
      </c>
      <c r="GL228">
        <f t="shared" si="195"/>
        <v>0</v>
      </c>
      <c r="GM228">
        <f t="shared" si="196"/>
        <v>1017.04</v>
      </c>
      <c r="GN228">
        <f t="shared" si="197"/>
        <v>0</v>
      </c>
      <c r="GO228">
        <f t="shared" si="198"/>
        <v>0</v>
      </c>
      <c r="GP228">
        <f t="shared" si="199"/>
        <v>1017.04</v>
      </c>
      <c r="GR228">
        <v>0</v>
      </c>
      <c r="GS228">
        <v>3</v>
      </c>
      <c r="GT228">
        <v>0</v>
      </c>
      <c r="GU228" t="s">
        <v>3</v>
      </c>
      <c r="GV228">
        <f t="shared" si="200"/>
        <v>0</v>
      </c>
      <c r="GW228">
        <v>1</v>
      </c>
      <c r="GX228">
        <f t="shared" si="201"/>
        <v>0</v>
      </c>
      <c r="HA228">
        <v>0</v>
      </c>
      <c r="HB228">
        <v>0</v>
      </c>
      <c r="HC228">
        <f t="shared" si="202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D229">
        <f>ROW(EtalonRes!A129)</f>
        <v>129</v>
      </c>
      <c r="E229" t="s">
        <v>252</v>
      </c>
      <c r="F229" t="s">
        <v>63</v>
      </c>
      <c r="G229" t="s">
        <v>64</v>
      </c>
      <c r="H229" t="s">
        <v>18</v>
      </c>
      <c r="I229">
        <f>ROUND(2*4/10,9)</f>
        <v>0.8</v>
      </c>
      <c r="J229">
        <v>0</v>
      </c>
      <c r="K229">
        <f>ROUND(2*4/10,9)</f>
        <v>0.8</v>
      </c>
      <c r="O229">
        <f t="shared" si="170"/>
        <v>1007.74</v>
      </c>
      <c r="P229">
        <f t="shared" si="171"/>
        <v>0</v>
      </c>
      <c r="Q229">
        <f t="shared" si="172"/>
        <v>0</v>
      </c>
      <c r="R229">
        <f t="shared" si="173"/>
        <v>0</v>
      </c>
      <c r="S229">
        <f t="shared" si="174"/>
        <v>1007.74</v>
      </c>
      <c r="T229">
        <f t="shared" si="175"/>
        <v>0</v>
      </c>
      <c r="U229">
        <f t="shared" si="176"/>
        <v>1.6320000000000001</v>
      </c>
      <c r="V229">
        <f t="shared" si="177"/>
        <v>0</v>
      </c>
      <c r="W229">
        <f t="shared" si="178"/>
        <v>0</v>
      </c>
      <c r="X229">
        <f t="shared" si="179"/>
        <v>705.42</v>
      </c>
      <c r="Y229">
        <f t="shared" si="180"/>
        <v>100.77</v>
      </c>
      <c r="AA229">
        <v>1471531721</v>
      </c>
      <c r="AB229">
        <f t="shared" si="181"/>
        <v>1259.68</v>
      </c>
      <c r="AC229">
        <f>ROUND((ES229),6)</f>
        <v>0</v>
      </c>
      <c r="AD229">
        <f>ROUND((((ET229)-(EU229))+AE229),6)</f>
        <v>0</v>
      </c>
      <c r="AE229">
        <f>ROUND((EU229),6)</f>
        <v>0</v>
      </c>
      <c r="AF229">
        <f>ROUND((EV229),6)</f>
        <v>1259.68</v>
      </c>
      <c r="AG229">
        <f t="shared" si="182"/>
        <v>0</v>
      </c>
      <c r="AH229">
        <f>(EW229)</f>
        <v>2.04</v>
      </c>
      <c r="AI229">
        <f>(EX229)</f>
        <v>0</v>
      </c>
      <c r="AJ229">
        <f t="shared" si="183"/>
        <v>0</v>
      </c>
      <c r="AK229">
        <v>1259.68</v>
      </c>
      <c r="AL229">
        <v>0</v>
      </c>
      <c r="AM229">
        <v>0</v>
      </c>
      <c r="AN229">
        <v>0</v>
      </c>
      <c r="AO229">
        <v>1259.68</v>
      </c>
      <c r="AP229">
        <v>0</v>
      </c>
      <c r="AQ229">
        <v>2.04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65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184"/>
        <v>1007.74</v>
      </c>
      <c r="CQ229">
        <f t="shared" si="185"/>
        <v>0</v>
      </c>
      <c r="CR229">
        <f>((((ET229)*BB229-(EU229)*BS229)+AE229*BS229)*AV229)</f>
        <v>0</v>
      </c>
      <c r="CS229">
        <f t="shared" si="186"/>
        <v>0</v>
      </c>
      <c r="CT229">
        <f t="shared" si="187"/>
        <v>1259.68</v>
      </c>
      <c r="CU229">
        <f t="shared" si="188"/>
        <v>0</v>
      </c>
      <c r="CV229">
        <f t="shared" si="189"/>
        <v>2.04</v>
      </c>
      <c r="CW229">
        <f t="shared" si="190"/>
        <v>0</v>
      </c>
      <c r="CX229">
        <f t="shared" si="191"/>
        <v>0</v>
      </c>
      <c r="CY229">
        <f t="shared" si="192"/>
        <v>705.41800000000001</v>
      </c>
      <c r="CZ229">
        <f t="shared" si="193"/>
        <v>100.774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16987630</v>
      </c>
      <c r="DV229" t="s">
        <v>18</v>
      </c>
      <c r="DW229" t="s">
        <v>18</v>
      </c>
      <c r="DX229">
        <v>10</v>
      </c>
      <c r="DZ229" t="s">
        <v>3</v>
      </c>
      <c r="EA229" t="s">
        <v>3</v>
      </c>
      <c r="EB229" t="s">
        <v>3</v>
      </c>
      <c r="EC229" t="s">
        <v>3</v>
      </c>
      <c r="EE229">
        <v>1441815344</v>
      </c>
      <c r="EF229">
        <v>1</v>
      </c>
      <c r="EG229" t="s">
        <v>21</v>
      </c>
      <c r="EH229">
        <v>0</v>
      </c>
      <c r="EI229" t="s">
        <v>3</v>
      </c>
      <c r="EJ229">
        <v>4</v>
      </c>
      <c r="EK229">
        <v>0</v>
      </c>
      <c r="EL229" t="s">
        <v>22</v>
      </c>
      <c r="EM229" t="s">
        <v>23</v>
      </c>
      <c r="EO229" t="s">
        <v>3</v>
      </c>
      <c r="EQ229">
        <v>0</v>
      </c>
      <c r="ER229">
        <v>1259.68</v>
      </c>
      <c r="ES229">
        <v>0</v>
      </c>
      <c r="ET229">
        <v>0</v>
      </c>
      <c r="EU229">
        <v>0</v>
      </c>
      <c r="EV229">
        <v>1259.68</v>
      </c>
      <c r="EW229">
        <v>2.04</v>
      </c>
      <c r="EX229">
        <v>0</v>
      </c>
      <c r="EY229">
        <v>0</v>
      </c>
      <c r="FQ229">
        <v>0</v>
      </c>
      <c r="FR229">
        <f t="shared" si="194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-675599503</v>
      </c>
      <c r="GG229">
        <v>2</v>
      </c>
      <c r="GH229">
        <v>1</v>
      </c>
      <c r="GI229">
        <v>-2</v>
      </c>
      <c r="GJ229">
        <v>0</v>
      </c>
      <c r="GK229">
        <f>ROUND(R229*(R12)/100,2)</f>
        <v>0</v>
      </c>
      <c r="GL229">
        <f t="shared" si="195"/>
        <v>0</v>
      </c>
      <c r="GM229">
        <f t="shared" si="196"/>
        <v>1813.93</v>
      </c>
      <c r="GN229">
        <f t="shared" si="197"/>
        <v>0</v>
      </c>
      <c r="GO229">
        <f t="shared" si="198"/>
        <v>0</v>
      </c>
      <c r="GP229">
        <f t="shared" si="199"/>
        <v>1813.93</v>
      </c>
      <c r="GR229">
        <v>0</v>
      </c>
      <c r="GS229">
        <v>3</v>
      </c>
      <c r="GT229">
        <v>0</v>
      </c>
      <c r="GU229" t="s">
        <v>3</v>
      </c>
      <c r="GV229">
        <f t="shared" si="200"/>
        <v>0</v>
      </c>
      <c r="GW229">
        <v>1</v>
      </c>
      <c r="GX229">
        <f t="shared" si="201"/>
        <v>0</v>
      </c>
      <c r="HA229">
        <v>0</v>
      </c>
      <c r="HB229">
        <v>0</v>
      </c>
      <c r="HC229">
        <f t="shared" si="202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0" spans="1:245" x14ac:dyDescent="0.2">
      <c r="A230">
        <v>17</v>
      </c>
      <c r="B230">
        <v>1</v>
      </c>
      <c r="D230">
        <f>ROW(EtalonRes!A130)</f>
        <v>130</v>
      </c>
      <c r="E230" t="s">
        <v>3</v>
      </c>
      <c r="F230" t="s">
        <v>66</v>
      </c>
      <c r="G230" t="s">
        <v>67</v>
      </c>
      <c r="H230" t="s">
        <v>60</v>
      </c>
      <c r="I230">
        <f>ROUND(ROUND(((320+322+80+80)*0.25)*3/100,9),9)</f>
        <v>6.0149999999999997</v>
      </c>
      <c r="J230">
        <v>0</v>
      </c>
      <c r="K230">
        <f>ROUND(ROUND(((320+322+80+80)*0.25)*3/100,9),9)</f>
        <v>6.0149999999999997</v>
      </c>
      <c r="O230">
        <f t="shared" si="170"/>
        <v>24346.31</v>
      </c>
      <c r="P230">
        <f t="shared" si="171"/>
        <v>0</v>
      </c>
      <c r="Q230">
        <f t="shared" si="172"/>
        <v>0</v>
      </c>
      <c r="R230">
        <f t="shared" si="173"/>
        <v>0</v>
      </c>
      <c r="S230">
        <f t="shared" si="174"/>
        <v>24346.31</v>
      </c>
      <c r="T230">
        <f t="shared" si="175"/>
        <v>0</v>
      </c>
      <c r="U230">
        <f t="shared" si="176"/>
        <v>43.308</v>
      </c>
      <c r="V230">
        <f t="shared" si="177"/>
        <v>0</v>
      </c>
      <c r="W230">
        <f t="shared" si="178"/>
        <v>0</v>
      </c>
      <c r="X230">
        <f t="shared" si="179"/>
        <v>17042.419999999998</v>
      </c>
      <c r="Y230">
        <f t="shared" si="180"/>
        <v>2434.63</v>
      </c>
      <c r="AA230">
        <v>-1</v>
      </c>
      <c r="AB230">
        <f t="shared" si="181"/>
        <v>4047.6</v>
      </c>
      <c r="AC230">
        <f>ROUND(((ES230*8)),6)</f>
        <v>0</v>
      </c>
      <c r="AD230">
        <f>ROUND(((((ET230*8))-((EU230*8)))+AE230),6)</f>
        <v>0</v>
      </c>
      <c r="AE230">
        <f>ROUND(((EU230*8)),6)</f>
        <v>0</v>
      </c>
      <c r="AF230">
        <f>ROUND(((EV230*8)),6)</f>
        <v>4047.6</v>
      </c>
      <c r="AG230">
        <f t="shared" si="182"/>
        <v>0</v>
      </c>
      <c r="AH230">
        <f>((EW230*8))</f>
        <v>7.2</v>
      </c>
      <c r="AI230">
        <f>((EX230*8))</f>
        <v>0</v>
      </c>
      <c r="AJ230">
        <f t="shared" si="183"/>
        <v>0</v>
      </c>
      <c r="AK230">
        <v>505.95</v>
      </c>
      <c r="AL230">
        <v>0</v>
      </c>
      <c r="AM230">
        <v>0</v>
      </c>
      <c r="AN230">
        <v>0</v>
      </c>
      <c r="AO230">
        <v>505.95</v>
      </c>
      <c r="AP230">
        <v>0</v>
      </c>
      <c r="AQ230">
        <v>0.9</v>
      </c>
      <c r="AR230">
        <v>0</v>
      </c>
      <c r="AS230">
        <v>0</v>
      </c>
      <c r="AT230">
        <v>70</v>
      </c>
      <c r="AU230">
        <v>10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0</v>
      </c>
      <c r="BI230">
        <v>4</v>
      </c>
      <c r="BJ230" t="s">
        <v>68</v>
      </c>
      <c r="BM230">
        <v>0</v>
      </c>
      <c r="BN230">
        <v>0</v>
      </c>
      <c r="BO230" t="s">
        <v>3</v>
      </c>
      <c r="BP230">
        <v>0</v>
      </c>
      <c r="BQ230">
        <v>1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70</v>
      </c>
      <c r="CA230">
        <v>10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 t="shared" si="184"/>
        <v>24346.31</v>
      </c>
      <c r="CQ230">
        <f t="shared" si="185"/>
        <v>0</v>
      </c>
      <c r="CR230">
        <f>(((((ET230*8))*BB230-((EU230*8))*BS230)+AE230*BS230)*AV230)</f>
        <v>0</v>
      </c>
      <c r="CS230">
        <f t="shared" si="186"/>
        <v>0</v>
      </c>
      <c r="CT230">
        <f t="shared" si="187"/>
        <v>4047.6</v>
      </c>
      <c r="CU230">
        <f t="shared" si="188"/>
        <v>0</v>
      </c>
      <c r="CV230">
        <f t="shared" si="189"/>
        <v>7.2</v>
      </c>
      <c r="CW230">
        <f t="shared" si="190"/>
        <v>0</v>
      </c>
      <c r="CX230">
        <f t="shared" si="191"/>
        <v>0</v>
      </c>
      <c r="CY230">
        <f t="shared" si="192"/>
        <v>17042.417000000001</v>
      </c>
      <c r="CZ230">
        <f t="shared" si="193"/>
        <v>2434.6309999999999</v>
      </c>
      <c r="DC230" t="s">
        <v>3</v>
      </c>
      <c r="DD230" t="s">
        <v>69</v>
      </c>
      <c r="DE230" t="s">
        <v>69</v>
      </c>
      <c r="DF230" t="s">
        <v>69</v>
      </c>
      <c r="DG230" t="s">
        <v>69</v>
      </c>
      <c r="DH230" t="s">
        <v>3</v>
      </c>
      <c r="DI230" t="s">
        <v>69</v>
      </c>
      <c r="DJ230" t="s">
        <v>69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1003</v>
      </c>
      <c r="DV230" t="s">
        <v>60</v>
      </c>
      <c r="DW230" t="s">
        <v>60</v>
      </c>
      <c r="DX230">
        <v>100</v>
      </c>
      <c r="DZ230" t="s">
        <v>3</v>
      </c>
      <c r="EA230" t="s">
        <v>3</v>
      </c>
      <c r="EB230" t="s">
        <v>3</v>
      </c>
      <c r="EC230" t="s">
        <v>3</v>
      </c>
      <c r="EE230">
        <v>1441815344</v>
      </c>
      <c r="EF230">
        <v>1</v>
      </c>
      <c r="EG230" t="s">
        <v>21</v>
      </c>
      <c r="EH230">
        <v>0</v>
      </c>
      <c r="EI230" t="s">
        <v>3</v>
      </c>
      <c r="EJ230">
        <v>4</v>
      </c>
      <c r="EK230">
        <v>0</v>
      </c>
      <c r="EL230" t="s">
        <v>22</v>
      </c>
      <c r="EM230" t="s">
        <v>23</v>
      </c>
      <c r="EO230" t="s">
        <v>3</v>
      </c>
      <c r="EQ230">
        <v>1024</v>
      </c>
      <c r="ER230">
        <v>505.95</v>
      </c>
      <c r="ES230">
        <v>0</v>
      </c>
      <c r="ET230">
        <v>0</v>
      </c>
      <c r="EU230">
        <v>0</v>
      </c>
      <c r="EV230">
        <v>505.95</v>
      </c>
      <c r="EW230">
        <v>0.9</v>
      </c>
      <c r="EX230">
        <v>0</v>
      </c>
      <c r="EY230">
        <v>0</v>
      </c>
      <c r="FQ230">
        <v>0</v>
      </c>
      <c r="FR230">
        <f t="shared" si="194"/>
        <v>0</v>
      </c>
      <c r="FS230">
        <v>0</v>
      </c>
      <c r="FX230">
        <v>70</v>
      </c>
      <c r="FY230">
        <v>10</v>
      </c>
      <c r="GA230" t="s">
        <v>3</v>
      </c>
      <c r="GD230">
        <v>0</v>
      </c>
      <c r="GF230">
        <v>-341239612</v>
      </c>
      <c r="GG230">
        <v>2</v>
      </c>
      <c r="GH230">
        <v>1</v>
      </c>
      <c r="GI230">
        <v>-2</v>
      </c>
      <c r="GJ230">
        <v>0</v>
      </c>
      <c r="GK230">
        <f>ROUND(R230*(R12)/100,2)</f>
        <v>0</v>
      </c>
      <c r="GL230">
        <f t="shared" si="195"/>
        <v>0</v>
      </c>
      <c r="GM230">
        <f t="shared" si="196"/>
        <v>43823.360000000001</v>
      </c>
      <c r="GN230">
        <f t="shared" si="197"/>
        <v>0</v>
      </c>
      <c r="GO230">
        <f t="shared" si="198"/>
        <v>0</v>
      </c>
      <c r="GP230">
        <f t="shared" si="199"/>
        <v>43823.360000000001</v>
      </c>
      <c r="GR230">
        <v>0</v>
      </c>
      <c r="GS230">
        <v>3</v>
      </c>
      <c r="GT230">
        <v>0</v>
      </c>
      <c r="GU230" t="s">
        <v>3</v>
      </c>
      <c r="GV230">
        <f t="shared" si="200"/>
        <v>0</v>
      </c>
      <c r="GW230">
        <v>1</v>
      </c>
      <c r="GX230">
        <f t="shared" si="201"/>
        <v>0</v>
      </c>
      <c r="HA230">
        <v>0</v>
      </c>
      <c r="HB230">
        <v>0</v>
      </c>
      <c r="HC230">
        <f t="shared" si="202"/>
        <v>0</v>
      </c>
      <c r="HE230" t="s">
        <v>3</v>
      </c>
      <c r="HF230" t="s">
        <v>3</v>
      </c>
      <c r="HM230" t="s">
        <v>3</v>
      </c>
      <c r="HN230" t="s">
        <v>3</v>
      </c>
      <c r="HO230" t="s">
        <v>3</v>
      </c>
      <c r="HP230" t="s">
        <v>3</v>
      </c>
      <c r="HQ230" t="s">
        <v>3</v>
      </c>
      <c r="IK230">
        <v>0</v>
      </c>
    </row>
    <row r="231" spans="1:245" x14ac:dyDescent="0.2">
      <c r="A231">
        <v>17</v>
      </c>
      <c r="B231">
        <v>1</v>
      </c>
      <c r="D231">
        <f>ROW(EtalonRes!A131)</f>
        <v>131</v>
      </c>
      <c r="E231" t="s">
        <v>3</v>
      </c>
      <c r="F231" t="s">
        <v>70</v>
      </c>
      <c r="G231" t="s">
        <v>71</v>
      </c>
      <c r="H231" t="s">
        <v>60</v>
      </c>
      <c r="I231">
        <f>ROUND(ROUND(((320+322+80+80)*0.75)*3/100,9),9)</f>
        <v>18.045000000000002</v>
      </c>
      <c r="J231">
        <v>0</v>
      </c>
      <c r="K231">
        <f>ROUND(ROUND(((320+322+80+80)*0.75)*3/100,9),9)</f>
        <v>18.045000000000002</v>
      </c>
      <c r="O231">
        <f t="shared" si="170"/>
        <v>392790.57</v>
      </c>
      <c r="P231">
        <f t="shared" si="171"/>
        <v>0</v>
      </c>
      <c r="Q231">
        <f t="shared" si="172"/>
        <v>0</v>
      </c>
      <c r="R231">
        <f t="shared" si="173"/>
        <v>0</v>
      </c>
      <c r="S231">
        <f t="shared" si="174"/>
        <v>392790.57</v>
      </c>
      <c r="T231">
        <f t="shared" si="175"/>
        <v>0</v>
      </c>
      <c r="U231">
        <f t="shared" si="176"/>
        <v>698.70240000000001</v>
      </c>
      <c r="V231">
        <f t="shared" si="177"/>
        <v>0</v>
      </c>
      <c r="W231">
        <f t="shared" si="178"/>
        <v>0</v>
      </c>
      <c r="X231">
        <f t="shared" si="179"/>
        <v>274953.40000000002</v>
      </c>
      <c r="Y231">
        <f t="shared" si="180"/>
        <v>39279.06</v>
      </c>
      <c r="AA231">
        <v>-1</v>
      </c>
      <c r="AB231">
        <f t="shared" si="181"/>
        <v>21767.279999999999</v>
      </c>
      <c r="AC231">
        <f>ROUND(((ES231*8)),6)</f>
        <v>0</v>
      </c>
      <c r="AD231">
        <f>ROUND(((((ET231*8))-((EU231*8)))+AE231),6)</f>
        <v>0</v>
      </c>
      <c r="AE231">
        <f>ROUND(((EU231*8)),6)</f>
        <v>0</v>
      </c>
      <c r="AF231">
        <f>ROUND(((EV231*8)),6)</f>
        <v>21767.279999999999</v>
      </c>
      <c r="AG231">
        <f t="shared" si="182"/>
        <v>0</v>
      </c>
      <c r="AH231">
        <f>((EW231*8))</f>
        <v>38.72</v>
      </c>
      <c r="AI231">
        <f>((EX231*8))</f>
        <v>0</v>
      </c>
      <c r="AJ231">
        <f t="shared" si="183"/>
        <v>0</v>
      </c>
      <c r="AK231">
        <v>2720.91</v>
      </c>
      <c r="AL231">
        <v>0</v>
      </c>
      <c r="AM231">
        <v>0</v>
      </c>
      <c r="AN231">
        <v>0</v>
      </c>
      <c r="AO231">
        <v>2720.91</v>
      </c>
      <c r="AP231">
        <v>0</v>
      </c>
      <c r="AQ231">
        <v>4.84</v>
      </c>
      <c r="AR231">
        <v>0</v>
      </c>
      <c r="AS231">
        <v>0</v>
      </c>
      <c r="AT231">
        <v>70</v>
      </c>
      <c r="AU231">
        <v>10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0</v>
      </c>
      <c r="BI231">
        <v>4</v>
      </c>
      <c r="BJ231" t="s">
        <v>72</v>
      </c>
      <c r="BM231">
        <v>0</v>
      </c>
      <c r="BN231">
        <v>0</v>
      </c>
      <c r="BO231" t="s">
        <v>3</v>
      </c>
      <c r="BP231">
        <v>0</v>
      </c>
      <c r="BQ231">
        <v>1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70</v>
      </c>
      <c r="CA231">
        <v>10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 t="shared" si="184"/>
        <v>392790.57</v>
      </c>
      <c r="CQ231">
        <f t="shared" si="185"/>
        <v>0</v>
      </c>
      <c r="CR231">
        <f>(((((ET231*8))*BB231-((EU231*8))*BS231)+AE231*BS231)*AV231)</f>
        <v>0</v>
      </c>
      <c r="CS231">
        <f t="shared" si="186"/>
        <v>0</v>
      </c>
      <c r="CT231">
        <f t="shared" si="187"/>
        <v>21767.279999999999</v>
      </c>
      <c r="CU231">
        <f t="shared" si="188"/>
        <v>0</v>
      </c>
      <c r="CV231">
        <f t="shared" si="189"/>
        <v>38.72</v>
      </c>
      <c r="CW231">
        <f t="shared" si="190"/>
        <v>0</v>
      </c>
      <c r="CX231">
        <f t="shared" si="191"/>
        <v>0</v>
      </c>
      <c r="CY231">
        <f t="shared" si="192"/>
        <v>274953.39900000003</v>
      </c>
      <c r="CZ231">
        <f t="shared" si="193"/>
        <v>39279.057000000001</v>
      </c>
      <c r="DC231" t="s">
        <v>3</v>
      </c>
      <c r="DD231" t="s">
        <v>69</v>
      </c>
      <c r="DE231" t="s">
        <v>69</v>
      </c>
      <c r="DF231" t="s">
        <v>69</v>
      </c>
      <c r="DG231" t="s">
        <v>69</v>
      </c>
      <c r="DH231" t="s">
        <v>3</v>
      </c>
      <c r="DI231" t="s">
        <v>69</v>
      </c>
      <c r="DJ231" t="s">
        <v>69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1003</v>
      </c>
      <c r="DV231" t="s">
        <v>60</v>
      </c>
      <c r="DW231" t="s">
        <v>60</v>
      </c>
      <c r="DX231">
        <v>100</v>
      </c>
      <c r="DZ231" t="s">
        <v>3</v>
      </c>
      <c r="EA231" t="s">
        <v>3</v>
      </c>
      <c r="EB231" t="s">
        <v>3</v>
      </c>
      <c r="EC231" t="s">
        <v>3</v>
      </c>
      <c r="EE231">
        <v>1441815344</v>
      </c>
      <c r="EF231">
        <v>1</v>
      </c>
      <c r="EG231" t="s">
        <v>21</v>
      </c>
      <c r="EH231">
        <v>0</v>
      </c>
      <c r="EI231" t="s">
        <v>3</v>
      </c>
      <c r="EJ231">
        <v>4</v>
      </c>
      <c r="EK231">
        <v>0</v>
      </c>
      <c r="EL231" t="s">
        <v>22</v>
      </c>
      <c r="EM231" t="s">
        <v>23</v>
      </c>
      <c r="EO231" t="s">
        <v>3</v>
      </c>
      <c r="EQ231">
        <v>1024</v>
      </c>
      <c r="ER231">
        <v>2720.91</v>
      </c>
      <c r="ES231">
        <v>0</v>
      </c>
      <c r="ET231">
        <v>0</v>
      </c>
      <c r="EU231">
        <v>0</v>
      </c>
      <c r="EV231">
        <v>2720.91</v>
      </c>
      <c r="EW231">
        <v>4.84</v>
      </c>
      <c r="EX231">
        <v>0</v>
      </c>
      <c r="EY231">
        <v>0</v>
      </c>
      <c r="FQ231">
        <v>0</v>
      </c>
      <c r="FR231">
        <f t="shared" si="194"/>
        <v>0</v>
      </c>
      <c r="FS231">
        <v>0</v>
      </c>
      <c r="FX231">
        <v>70</v>
      </c>
      <c r="FY231">
        <v>10</v>
      </c>
      <c r="GA231" t="s">
        <v>3</v>
      </c>
      <c r="GD231">
        <v>0</v>
      </c>
      <c r="GF231">
        <v>-1706933960</v>
      </c>
      <c r="GG231">
        <v>2</v>
      </c>
      <c r="GH231">
        <v>1</v>
      </c>
      <c r="GI231">
        <v>-2</v>
      </c>
      <c r="GJ231">
        <v>0</v>
      </c>
      <c r="GK231">
        <f>ROUND(R231*(R12)/100,2)</f>
        <v>0</v>
      </c>
      <c r="GL231">
        <f t="shared" si="195"/>
        <v>0</v>
      </c>
      <c r="GM231">
        <f t="shared" si="196"/>
        <v>707023.03</v>
      </c>
      <c r="GN231">
        <f t="shared" si="197"/>
        <v>0</v>
      </c>
      <c r="GO231">
        <f t="shared" si="198"/>
        <v>0</v>
      </c>
      <c r="GP231">
        <f t="shared" si="199"/>
        <v>707023.03</v>
      </c>
      <c r="GR231">
        <v>0</v>
      </c>
      <c r="GS231">
        <v>3</v>
      </c>
      <c r="GT231">
        <v>0</v>
      </c>
      <c r="GU231" t="s">
        <v>3</v>
      </c>
      <c r="GV231">
        <f t="shared" si="200"/>
        <v>0</v>
      </c>
      <c r="GW231">
        <v>1</v>
      </c>
      <c r="GX231">
        <f t="shared" si="201"/>
        <v>0</v>
      </c>
      <c r="HA231">
        <v>0</v>
      </c>
      <c r="HB231">
        <v>0</v>
      </c>
      <c r="HC231">
        <f t="shared" si="202"/>
        <v>0</v>
      </c>
      <c r="HE231" t="s">
        <v>3</v>
      </c>
      <c r="HF231" t="s">
        <v>3</v>
      </c>
      <c r="HM231" t="s">
        <v>3</v>
      </c>
      <c r="HN231" t="s">
        <v>3</v>
      </c>
      <c r="HO231" t="s">
        <v>3</v>
      </c>
      <c r="HP231" t="s">
        <v>3</v>
      </c>
      <c r="HQ231" t="s">
        <v>3</v>
      </c>
      <c r="IK231">
        <v>0</v>
      </c>
    </row>
    <row r="232" spans="1:245" x14ac:dyDescent="0.2">
      <c r="A232">
        <v>17</v>
      </c>
      <c r="B232">
        <v>1</v>
      </c>
      <c r="D232">
        <f>ROW(EtalonRes!A133)</f>
        <v>133</v>
      </c>
      <c r="E232" t="s">
        <v>3</v>
      </c>
      <c r="F232" t="s">
        <v>42</v>
      </c>
      <c r="G232" t="s">
        <v>74</v>
      </c>
      <c r="H232" t="s">
        <v>39</v>
      </c>
      <c r="I232">
        <f>ROUND(3*13,9)</f>
        <v>39</v>
      </c>
      <c r="J232">
        <v>0</v>
      </c>
      <c r="K232">
        <f>ROUND(3*13,9)</f>
        <v>39</v>
      </c>
      <c r="O232">
        <f t="shared" si="170"/>
        <v>22322.04</v>
      </c>
      <c r="P232">
        <f t="shared" si="171"/>
        <v>0</v>
      </c>
      <c r="Q232">
        <f t="shared" si="172"/>
        <v>6098.04</v>
      </c>
      <c r="R232">
        <f t="shared" si="173"/>
        <v>3866.46</v>
      </c>
      <c r="S232">
        <f t="shared" si="174"/>
        <v>16224</v>
      </c>
      <c r="T232">
        <f t="shared" si="175"/>
        <v>0</v>
      </c>
      <c r="U232">
        <f t="shared" si="176"/>
        <v>28.86</v>
      </c>
      <c r="V232">
        <f t="shared" si="177"/>
        <v>0</v>
      </c>
      <c r="W232">
        <f t="shared" si="178"/>
        <v>0</v>
      </c>
      <c r="X232">
        <f t="shared" si="179"/>
        <v>11356.8</v>
      </c>
      <c r="Y232">
        <f t="shared" si="180"/>
        <v>1622.4</v>
      </c>
      <c r="AA232">
        <v>-1</v>
      </c>
      <c r="AB232">
        <f t="shared" si="181"/>
        <v>572.36</v>
      </c>
      <c r="AC232">
        <f>ROUND(((ES232*2)),6)</f>
        <v>0</v>
      </c>
      <c r="AD232">
        <f>ROUND(((((ET232*2))-((EU232*2)))+AE232),6)</f>
        <v>156.36000000000001</v>
      </c>
      <c r="AE232">
        <f>ROUND(((EU232*2)),6)</f>
        <v>99.14</v>
      </c>
      <c r="AF232">
        <f>ROUND(((EV232*2)),6)</f>
        <v>416</v>
      </c>
      <c r="AG232">
        <f t="shared" si="182"/>
        <v>0</v>
      </c>
      <c r="AH232">
        <f>((EW232*2))</f>
        <v>0.74</v>
      </c>
      <c r="AI232">
        <f>((EX232*2))</f>
        <v>0</v>
      </c>
      <c r="AJ232">
        <f t="shared" si="183"/>
        <v>0</v>
      </c>
      <c r="AK232">
        <v>286.18</v>
      </c>
      <c r="AL232">
        <v>0</v>
      </c>
      <c r="AM232">
        <v>78.180000000000007</v>
      </c>
      <c r="AN232">
        <v>49.57</v>
      </c>
      <c r="AO232">
        <v>208</v>
      </c>
      <c r="AP232">
        <v>0</v>
      </c>
      <c r="AQ232">
        <v>0.37</v>
      </c>
      <c r="AR232">
        <v>0</v>
      </c>
      <c r="AS232">
        <v>0</v>
      </c>
      <c r="AT232">
        <v>70</v>
      </c>
      <c r="AU232">
        <v>10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0</v>
      </c>
      <c r="BI232">
        <v>4</v>
      </c>
      <c r="BJ232" t="s">
        <v>44</v>
      </c>
      <c r="BM232">
        <v>0</v>
      </c>
      <c r="BN232">
        <v>0</v>
      </c>
      <c r="BO232" t="s">
        <v>3</v>
      </c>
      <c r="BP232">
        <v>0</v>
      </c>
      <c r="BQ232">
        <v>1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70</v>
      </c>
      <c r="CA232">
        <v>10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 t="shared" si="184"/>
        <v>22322.04</v>
      </c>
      <c r="CQ232">
        <f t="shared" si="185"/>
        <v>0</v>
      </c>
      <c r="CR232">
        <f>(((((ET232*2))*BB232-((EU232*2))*BS232)+AE232*BS232)*AV232)</f>
        <v>156.36000000000001</v>
      </c>
      <c r="CS232">
        <f t="shared" si="186"/>
        <v>99.14</v>
      </c>
      <c r="CT232">
        <f t="shared" si="187"/>
        <v>416</v>
      </c>
      <c r="CU232">
        <f t="shared" si="188"/>
        <v>0</v>
      </c>
      <c r="CV232">
        <f t="shared" si="189"/>
        <v>0.74</v>
      </c>
      <c r="CW232">
        <f t="shared" si="190"/>
        <v>0</v>
      </c>
      <c r="CX232">
        <f t="shared" si="191"/>
        <v>0</v>
      </c>
      <c r="CY232">
        <f t="shared" si="192"/>
        <v>11356.8</v>
      </c>
      <c r="CZ232">
        <f t="shared" si="193"/>
        <v>1622.4</v>
      </c>
      <c r="DC232" t="s">
        <v>3</v>
      </c>
      <c r="DD232" t="s">
        <v>253</v>
      </c>
      <c r="DE232" t="s">
        <v>253</v>
      </c>
      <c r="DF232" t="s">
        <v>253</v>
      </c>
      <c r="DG232" t="s">
        <v>253</v>
      </c>
      <c r="DH232" t="s">
        <v>3</v>
      </c>
      <c r="DI232" t="s">
        <v>253</v>
      </c>
      <c r="DJ232" t="s">
        <v>253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16987630</v>
      </c>
      <c r="DV232" t="s">
        <v>39</v>
      </c>
      <c r="DW232" t="s">
        <v>39</v>
      </c>
      <c r="DX232">
        <v>1</v>
      </c>
      <c r="DZ232" t="s">
        <v>3</v>
      </c>
      <c r="EA232" t="s">
        <v>3</v>
      </c>
      <c r="EB232" t="s">
        <v>3</v>
      </c>
      <c r="EC232" t="s">
        <v>3</v>
      </c>
      <c r="EE232">
        <v>1441815344</v>
      </c>
      <c r="EF232">
        <v>1</v>
      </c>
      <c r="EG232" t="s">
        <v>21</v>
      </c>
      <c r="EH232">
        <v>0</v>
      </c>
      <c r="EI232" t="s">
        <v>3</v>
      </c>
      <c r="EJ232">
        <v>4</v>
      </c>
      <c r="EK232">
        <v>0</v>
      </c>
      <c r="EL232" t="s">
        <v>22</v>
      </c>
      <c r="EM232" t="s">
        <v>23</v>
      </c>
      <c r="EO232" t="s">
        <v>3</v>
      </c>
      <c r="EQ232">
        <v>1024</v>
      </c>
      <c r="ER232">
        <v>286.18</v>
      </c>
      <c r="ES232">
        <v>0</v>
      </c>
      <c r="ET232">
        <v>78.180000000000007</v>
      </c>
      <c r="EU232">
        <v>49.57</v>
      </c>
      <c r="EV232">
        <v>208</v>
      </c>
      <c r="EW232">
        <v>0.37</v>
      </c>
      <c r="EX232">
        <v>0</v>
      </c>
      <c r="EY232">
        <v>0</v>
      </c>
      <c r="FQ232">
        <v>0</v>
      </c>
      <c r="FR232">
        <f t="shared" si="194"/>
        <v>0</v>
      </c>
      <c r="FS232">
        <v>0</v>
      </c>
      <c r="FX232">
        <v>70</v>
      </c>
      <c r="FY232">
        <v>10</v>
      </c>
      <c r="GA232" t="s">
        <v>3</v>
      </c>
      <c r="GD232">
        <v>0</v>
      </c>
      <c r="GF232">
        <v>139218651</v>
      </c>
      <c r="GG232">
        <v>2</v>
      </c>
      <c r="GH232">
        <v>1</v>
      </c>
      <c r="GI232">
        <v>-2</v>
      </c>
      <c r="GJ232">
        <v>0</v>
      </c>
      <c r="GK232">
        <f>ROUND(R232*(R12)/100,2)</f>
        <v>4175.78</v>
      </c>
      <c r="GL232">
        <f t="shared" si="195"/>
        <v>0</v>
      </c>
      <c r="GM232">
        <f t="shared" si="196"/>
        <v>39477.019999999997</v>
      </c>
      <c r="GN232">
        <f t="shared" si="197"/>
        <v>0</v>
      </c>
      <c r="GO232">
        <f t="shared" si="198"/>
        <v>0</v>
      </c>
      <c r="GP232">
        <f t="shared" si="199"/>
        <v>39477.019999999997</v>
      </c>
      <c r="GR232">
        <v>0</v>
      </c>
      <c r="GS232">
        <v>3</v>
      </c>
      <c r="GT232">
        <v>0</v>
      </c>
      <c r="GU232" t="s">
        <v>3</v>
      </c>
      <c r="GV232">
        <f t="shared" si="200"/>
        <v>0</v>
      </c>
      <c r="GW232">
        <v>1</v>
      </c>
      <c r="GX232">
        <f t="shared" si="201"/>
        <v>0</v>
      </c>
      <c r="HA232">
        <v>0</v>
      </c>
      <c r="HB232">
        <v>0</v>
      </c>
      <c r="HC232">
        <f t="shared" si="202"/>
        <v>0</v>
      </c>
      <c r="HE232" t="s">
        <v>3</v>
      </c>
      <c r="HF232" t="s">
        <v>3</v>
      </c>
      <c r="HM232" t="s">
        <v>3</v>
      </c>
      <c r="HN232" t="s">
        <v>3</v>
      </c>
      <c r="HO232" t="s">
        <v>3</v>
      </c>
      <c r="HP232" t="s">
        <v>3</v>
      </c>
      <c r="HQ232" t="s">
        <v>3</v>
      </c>
      <c r="IK232">
        <v>0</v>
      </c>
    </row>
    <row r="233" spans="1:245" x14ac:dyDescent="0.2">
      <c r="A233">
        <v>17</v>
      </c>
      <c r="B233">
        <v>1</v>
      </c>
      <c r="D233">
        <f>ROW(EtalonRes!A134)</f>
        <v>134</v>
      </c>
      <c r="E233" t="s">
        <v>3</v>
      </c>
      <c r="F233" t="s">
        <v>76</v>
      </c>
      <c r="G233" t="s">
        <v>77</v>
      </c>
      <c r="H233" t="s">
        <v>18</v>
      </c>
      <c r="I233">
        <f>ROUND(13/10,9)</f>
        <v>1.3</v>
      </c>
      <c r="J233">
        <v>0</v>
      </c>
      <c r="K233">
        <f>ROUND(13/10,9)</f>
        <v>1.3</v>
      </c>
      <c r="O233">
        <f t="shared" si="170"/>
        <v>979.34</v>
      </c>
      <c r="P233">
        <f t="shared" si="171"/>
        <v>0</v>
      </c>
      <c r="Q233">
        <f t="shared" si="172"/>
        <v>0</v>
      </c>
      <c r="R233">
        <f t="shared" si="173"/>
        <v>0</v>
      </c>
      <c r="S233">
        <f t="shared" si="174"/>
        <v>979.34</v>
      </c>
      <c r="T233">
        <f t="shared" si="175"/>
        <v>0</v>
      </c>
      <c r="U233">
        <f t="shared" si="176"/>
        <v>1.5860000000000001</v>
      </c>
      <c r="V233">
        <f t="shared" si="177"/>
        <v>0</v>
      </c>
      <c r="W233">
        <f t="shared" si="178"/>
        <v>0</v>
      </c>
      <c r="X233">
        <f t="shared" si="179"/>
        <v>685.54</v>
      </c>
      <c r="Y233">
        <f t="shared" si="180"/>
        <v>97.93</v>
      </c>
      <c r="AA233">
        <v>-1</v>
      </c>
      <c r="AB233">
        <f t="shared" si="181"/>
        <v>753.34</v>
      </c>
      <c r="AC233">
        <f>ROUND((ES233),6)</f>
        <v>0</v>
      </c>
      <c r="AD233">
        <f>ROUND((((ET233)-(EU233))+AE233),6)</f>
        <v>0</v>
      </c>
      <c r="AE233">
        <f>ROUND((EU233),6)</f>
        <v>0</v>
      </c>
      <c r="AF233">
        <f>ROUND(((EV233*2)),6)</f>
        <v>753.34</v>
      </c>
      <c r="AG233">
        <f t="shared" si="182"/>
        <v>0</v>
      </c>
      <c r="AH233">
        <f>((EW233*2))</f>
        <v>1.22</v>
      </c>
      <c r="AI233">
        <f>(EX233)</f>
        <v>0</v>
      </c>
      <c r="AJ233">
        <f t="shared" si="183"/>
        <v>0</v>
      </c>
      <c r="AK233">
        <v>376.67</v>
      </c>
      <c r="AL233">
        <v>0</v>
      </c>
      <c r="AM233">
        <v>0</v>
      </c>
      <c r="AN233">
        <v>0</v>
      </c>
      <c r="AO233">
        <v>376.67</v>
      </c>
      <c r="AP233">
        <v>0</v>
      </c>
      <c r="AQ233">
        <v>0.61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78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 t="shared" si="184"/>
        <v>979.34</v>
      </c>
      <c r="CQ233">
        <f t="shared" si="185"/>
        <v>0</v>
      </c>
      <c r="CR233">
        <f>((((ET233)*BB233-(EU233)*BS233)+AE233*BS233)*AV233)</f>
        <v>0</v>
      </c>
      <c r="CS233">
        <f t="shared" si="186"/>
        <v>0</v>
      </c>
      <c r="CT233">
        <f t="shared" si="187"/>
        <v>753.34</v>
      </c>
      <c r="CU233">
        <f t="shared" si="188"/>
        <v>0</v>
      </c>
      <c r="CV233">
        <f t="shared" si="189"/>
        <v>1.22</v>
      </c>
      <c r="CW233">
        <f t="shared" si="190"/>
        <v>0</v>
      </c>
      <c r="CX233">
        <f t="shared" si="191"/>
        <v>0</v>
      </c>
      <c r="CY233">
        <f t="shared" si="192"/>
        <v>685.53800000000001</v>
      </c>
      <c r="CZ233">
        <f t="shared" si="193"/>
        <v>97.933999999999997</v>
      </c>
      <c r="DC233" t="s">
        <v>3</v>
      </c>
      <c r="DD233" t="s">
        <v>3</v>
      </c>
      <c r="DE233" t="s">
        <v>3</v>
      </c>
      <c r="DF233" t="s">
        <v>3</v>
      </c>
      <c r="DG233" t="s">
        <v>253</v>
      </c>
      <c r="DH233" t="s">
        <v>3</v>
      </c>
      <c r="DI233" t="s">
        <v>253</v>
      </c>
      <c r="DJ233" t="s">
        <v>3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16987630</v>
      </c>
      <c r="DV233" t="s">
        <v>18</v>
      </c>
      <c r="DW233" t="s">
        <v>18</v>
      </c>
      <c r="DX233">
        <v>10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21</v>
      </c>
      <c r="EH233">
        <v>0</v>
      </c>
      <c r="EI233" t="s">
        <v>3</v>
      </c>
      <c r="EJ233">
        <v>4</v>
      </c>
      <c r="EK233">
        <v>0</v>
      </c>
      <c r="EL233" t="s">
        <v>22</v>
      </c>
      <c r="EM233" t="s">
        <v>23</v>
      </c>
      <c r="EO233" t="s">
        <v>3</v>
      </c>
      <c r="EQ233">
        <v>1024</v>
      </c>
      <c r="ER233">
        <v>376.67</v>
      </c>
      <c r="ES233">
        <v>0</v>
      </c>
      <c r="ET233">
        <v>0</v>
      </c>
      <c r="EU233">
        <v>0</v>
      </c>
      <c r="EV233">
        <v>376.67</v>
      </c>
      <c r="EW233">
        <v>0.61</v>
      </c>
      <c r="EX233">
        <v>0</v>
      </c>
      <c r="EY233">
        <v>0</v>
      </c>
      <c r="FQ233">
        <v>0</v>
      </c>
      <c r="FR233">
        <f t="shared" si="194"/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357408898</v>
      </c>
      <c r="GG233">
        <v>2</v>
      </c>
      <c r="GH233">
        <v>1</v>
      </c>
      <c r="GI233">
        <v>-2</v>
      </c>
      <c r="GJ233">
        <v>0</v>
      </c>
      <c r="GK233">
        <f>ROUND(R233*(R12)/100,2)</f>
        <v>0</v>
      </c>
      <c r="GL233">
        <f t="shared" si="195"/>
        <v>0</v>
      </c>
      <c r="GM233">
        <f t="shared" si="196"/>
        <v>1762.81</v>
      </c>
      <c r="GN233">
        <f t="shared" si="197"/>
        <v>0</v>
      </c>
      <c r="GO233">
        <f t="shared" si="198"/>
        <v>0</v>
      </c>
      <c r="GP233">
        <f t="shared" si="199"/>
        <v>1762.81</v>
      </c>
      <c r="GR233">
        <v>0</v>
      </c>
      <c r="GS233">
        <v>3</v>
      </c>
      <c r="GT233">
        <v>0</v>
      </c>
      <c r="GU233" t="s">
        <v>3</v>
      </c>
      <c r="GV233">
        <f t="shared" si="200"/>
        <v>0</v>
      </c>
      <c r="GW233">
        <v>1</v>
      </c>
      <c r="GX233">
        <f t="shared" si="201"/>
        <v>0</v>
      </c>
      <c r="HA233">
        <v>0</v>
      </c>
      <c r="HB233">
        <v>0</v>
      </c>
      <c r="HC233">
        <f t="shared" si="202"/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4" spans="1:245" x14ac:dyDescent="0.2">
      <c r="A234">
        <v>17</v>
      </c>
      <c r="B234">
        <v>1</v>
      </c>
      <c r="D234">
        <f>ROW(EtalonRes!A137)</f>
        <v>137</v>
      </c>
      <c r="E234" t="s">
        <v>3</v>
      </c>
      <c r="F234" t="s">
        <v>79</v>
      </c>
      <c r="G234" t="s">
        <v>80</v>
      </c>
      <c r="H234" t="s">
        <v>31</v>
      </c>
      <c r="I234">
        <f>ROUND(8/100,9)</f>
        <v>0.08</v>
      </c>
      <c r="J234">
        <v>0</v>
      </c>
      <c r="K234">
        <f>ROUND(8/100,9)</f>
        <v>0.08</v>
      </c>
      <c r="O234">
        <f t="shared" si="170"/>
        <v>89833.66</v>
      </c>
      <c r="P234">
        <f t="shared" si="171"/>
        <v>1102.7</v>
      </c>
      <c r="Q234">
        <f t="shared" si="172"/>
        <v>0</v>
      </c>
      <c r="R234">
        <f t="shared" si="173"/>
        <v>0</v>
      </c>
      <c r="S234">
        <f t="shared" si="174"/>
        <v>88730.96</v>
      </c>
      <c r="T234">
        <f t="shared" si="175"/>
        <v>0</v>
      </c>
      <c r="U234">
        <f t="shared" si="176"/>
        <v>272.44</v>
      </c>
      <c r="V234">
        <f t="shared" si="177"/>
        <v>0</v>
      </c>
      <c r="W234">
        <f t="shared" si="178"/>
        <v>0</v>
      </c>
      <c r="X234">
        <f t="shared" si="179"/>
        <v>62111.67</v>
      </c>
      <c r="Y234">
        <f t="shared" si="180"/>
        <v>8873.1</v>
      </c>
      <c r="AA234">
        <v>-1</v>
      </c>
      <c r="AB234">
        <f t="shared" si="181"/>
        <v>1122920.75</v>
      </c>
      <c r="AC234">
        <f>ROUND(((ES234*245)),6)</f>
        <v>13783.7</v>
      </c>
      <c r="AD234">
        <f>ROUND((((ET234)-(EU234))+AE234),6)</f>
        <v>0</v>
      </c>
      <c r="AE234">
        <f>ROUND((EU234),6)</f>
        <v>0</v>
      </c>
      <c r="AF234">
        <f>ROUND(((EV234*245)),6)</f>
        <v>1109137.05</v>
      </c>
      <c r="AG234">
        <f t="shared" si="182"/>
        <v>0</v>
      </c>
      <c r="AH234">
        <f>((EW234*245))</f>
        <v>3405.5</v>
      </c>
      <c r="AI234">
        <f>(EX234)</f>
        <v>0</v>
      </c>
      <c r="AJ234">
        <f t="shared" si="183"/>
        <v>0</v>
      </c>
      <c r="AK234">
        <v>4583.3500000000004</v>
      </c>
      <c r="AL234">
        <v>56.26</v>
      </c>
      <c r="AM234">
        <v>0</v>
      </c>
      <c r="AN234">
        <v>0</v>
      </c>
      <c r="AO234">
        <v>4527.09</v>
      </c>
      <c r="AP234">
        <v>0</v>
      </c>
      <c r="AQ234">
        <v>13.9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81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si="184"/>
        <v>89833.66</v>
      </c>
      <c r="CQ234">
        <f t="shared" si="185"/>
        <v>13783.7</v>
      </c>
      <c r="CR234">
        <f>((((ET234)*BB234-(EU234)*BS234)+AE234*BS234)*AV234)</f>
        <v>0</v>
      </c>
      <c r="CS234">
        <f t="shared" si="186"/>
        <v>0</v>
      </c>
      <c r="CT234">
        <f t="shared" si="187"/>
        <v>1109137.05</v>
      </c>
      <c r="CU234">
        <f t="shared" si="188"/>
        <v>0</v>
      </c>
      <c r="CV234">
        <f t="shared" si="189"/>
        <v>3405.5</v>
      </c>
      <c r="CW234">
        <f t="shared" si="190"/>
        <v>0</v>
      </c>
      <c r="CX234">
        <f t="shared" si="191"/>
        <v>0</v>
      </c>
      <c r="CY234">
        <f t="shared" si="192"/>
        <v>62111.671999999999</v>
      </c>
      <c r="CZ234">
        <f t="shared" si="193"/>
        <v>8873.0960000000014</v>
      </c>
      <c r="DC234" t="s">
        <v>3</v>
      </c>
      <c r="DD234" t="s">
        <v>82</v>
      </c>
      <c r="DE234" t="s">
        <v>3</v>
      </c>
      <c r="DF234" t="s">
        <v>3</v>
      </c>
      <c r="DG234" t="s">
        <v>82</v>
      </c>
      <c r="DH234" t="s">
        <v>3</v>
      </c>
      <c r="DI234" t="s">
        <v>82</v>
      </c>
      <c r="DJ234" t="s">
        <v>3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16987630</v>
      </c>
      <c r="DV234" t="s">
        <v>31</v>
      </c>
      <c r="DW234" t="s">
        <v>31</v>
      </c>
      <c r="DX234">
        <v>100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21</v>
      </c>
      <c r="EH234">
        <v>0</v>
      </c>
      <c r="EI234" t="s">
        <v>3</v>
      </c>
      <c r="EJ234">
        <v>4</v>
      </c>
      <c r="EK234">
        <v>0</v>
      </c>
      <c r="EL234" t="s">
        <v>22</v>
      </c>
      <c r="EM234" t="s">
        <v>23</v>
      </c>
      <c r="EO234" t="s">
        <v>3</v>
      </c>
      <c r="EQ234">
        <v>1024</v>
      </c>
      <c r="ER234">
        <v>4583.3500000000004</v>
      </c>
      <c r="ES234">
        <v>56.26</v>
      </c>
      <c r="ET234">
        <v>0</v>
      </c>
      <c r="EU234">
        <v>0</v>
      </c>
      <c r="EV234">
        <v>4527.09</v>
      </c>
      <c r="EW234">
        <v>13.9</v>
      </c>
      <c r="EX234">
        <v>0</v>
      </c>
      <c r="EY234">
        <v>0</v>
      </c>
      <c r="FQ234">
        <v>0</v>
      </c>
      <c r="FR234">
        <f t="shared" si="194"/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-414143233</v>
      </c>
      <c r="GG234">
        <v>2</v>
      </c>
      <c r="GH234">
        <v>1</v>
      </c>
      <c r="GI234">
        <v>-2</v>
      </c>
      <c r="GJ234">
        <v>0</v>
      </c>
      <c r="GK234">
        <f>ROUND(R234*(R12)/100,2)</f>
        <v>0</v>
      </c>
      <c r="GL234">
        <f t="shared" si="195"/>
        <v>0</v>
      </c>
      <c r="GM234">
        <f t="shared" si="196"/>
        <v>160818.43</v>
      </c>
      <c r="GN234">
        <f t="shared" si="197"/>
        <v>0</v>
      </c>
      <c r="GO234">
        <f t="shared" si="198"/>
        <v>0</v>
      </c>
      <c r="GP234">
        <f t="shared" si="199"/>
        <v>160818.43</v>
      </c>
      <c r="GR234">
        <v>0</v>
      </c>
      <c r="GS234">
        <v>3</v>
      </c>
      <c r="GT234">
        <v>0</v>
      </c>
      <c r="GU234" t="s">
        <v>3</v>
      </c>
      <c r="GV234">
        <f t="shared" si="200"/>
        <v>0</v>
      </c>
      <c r="GW234">
        <v>1</v>
      </c>
      <c r="GX234">
        <f t="shared" si="201"/>
        <v>0</v>
      </c>
      <c r="HA234">
        <v>0</v>
      </c>
      <c r="HB234">
        <v>0</v>
      </c>
      <c r="HC234">
        <f t="shared" si="202"/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ROW(EtalonRes!A140)</f>
        <v>140</v>
      </c>
      <c r="E235" t="s">
        <v>3</v>
      </c>
      <c r="F235" t="s">
        <v>83</v>
      </c>
      <c r="G235" t="s">
        <v>84</v>
      </c>
      <c r="H235" t="s">
        <v>31</v>
      </c>
      <c r="I235">
        <f>ROUND(8/100,9)</f>
        <v>0.08</v>
      </c>
      <c r="J235">
        <v>0</v>
      </c>
      <c r="K235">
        <f>ROUND(8/100,9)</f>
        <v>0.08</v>
      </c>
      <c r="O235">
        <f t="shared" si="170"/>
        <v>53128.35</v>
      </c>
      <c r="P235">
        <f t="shared" si="171"/>
        <v>1102.7</v>
      </c>
      <c r="Q235">
        <f t="shared" si="172"/>
        <v>0</v>
      </c>
      <c r="R235">
        <f t="shared" si="173"/>
        <v>0</v>
      </c>
      <c r="S235">
        <f t="shared" si="174"/>
        <v>52025.65</v>
      </c>
      <c r="T235">
        <f t="shared" si="175"/>
        <v>0</v>
      </c>
      <c r="U235">
        <f t="shared" si="176"/>
        <v>159.74</v>
      </c>
      <c r="V235">
        <f t="shared" si="177"/>
        <v>0</v>
      </c>
      <c r="W235">
        <f t="shared" si="178"/>
        <v>0</v>
      </c>
      <c r="X235">
        <f t="shared" si="179"/>
        <v>36417.96</v>
      </c>
      <c r="Y235">
        <f t="shared" si="180"/>
        <v>5202.57</v>
      </c>
      <c r="AA235">
        <v>-1</v>
      </c>
      <c r="AB235">
        <f t="shared" si="181"/>
        <v>664104.35</v>
      </c>
      <c r="AC235">
        <f>ROUND(((ES235*245)),6)</f>
        <v>13783.7</v>
      </c>
      <c r="AD235">
        <f>ROUND((((ET235)-(EU235))+AE235),6)</f>
        <v>0</v>
      </c>
      <c r="AE235">
        <f>ROUND((EU235),6)</f>
        <v>0</v>
      </c>
      <c r="AF235">
        <f>ROUND(((EV235*245)),6)</f>
        <v>650320.65</v>
      </c>
      <c r="AG235">
        <f t="shared" si="182"/>
        <v>0</v>
      </c>
      <c r="AH235">
        <f>((EW235*245))</f>
        <v>1996.75</v>
      </c>
      <c r="AI235">
        <f>(EX235)</f>
        <v>0</v>
      </c>
      <c r="AJ235">
        <f t="shared" si="183"/>
        <v>0</v>
      </c>
      <c r="AK235">
        <v>2710.63</v>
      </c>
      <c r="AL235">
        <v>56.26</v>
      </c>
      <c r="AM235">
        <v>0</v>
      </c>
      <c r="AN235">
        <v>0</v>
      </c>
      <c r="AO235">
        <v>2654.37</v>
      </c>
      <c r="AP235">
        <v>0</v>
      </c>
      <c r="AQ235">
        <v>8.15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85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184"/>
        <v>53128.35</v>
      </c>
      <c r="CQ235">
        <f t="shared" si="185"/>
        <v>13783.7</v>
      </c>
      <c r="CR235">
        <f>((((ET235)*BB235-(EU235)*BS235)+AE235*BS235)*AV235)</f>
        <v>0</v>
      </c>
      <c r="CS235">
        <f t="shared" si="186"/>
        <v>0</v>
      </c>
      <c r="CT235">
        <f t="shared" si="187"/>
        <v>650320.65</v>
      </c>
      <c r="CU235">
        <f t="shared" si="188"/>
        <v>0</v>
      </c>
      <c r="CV235">
        <f t="shared" si="189"/>
        <v>1996.75</v>
      </c>
      <c r="CW235">
        <f t="shared" si="190"/>
        <v>0</v>
      </c>
      <c r="CX235">
        <f t="shared" si="191"/>
        <v>0</v>
      </c>
      <c r="CY235">
        <f t="shared" si="192"/>
        <v>36417.955000000002</v>
      </c>
      <c r="CZ235">
        <f t="shared" si="193"/>
        <v>5202.5649999999996</v>
      </c>
      <c r="DC235" t="s">
        <v>3</v>
      </c>
      <c r="DD235" t="s">
        <v>82</v>
      </c>
      <c r="DE235" t="s">
        <v>3</v>
      </c>
      <c r="DF235" t="s">
        <v>3</v>
      </c>
      <c r="DG235" t="s">
        <v>82</v>
      </c>
      <c r="DH235" t="s">
        <v>3</v>
      </c>
      <c r="DI235" t="s">
        <v>82</v>
      </c>
      <c r="DJ235" t="s">
        <v>3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16987630</v>
      </c>
      <c r="DV235" t="s">
        <v>31</v>
      </c>
      <c r="DW235" t="s">
        <v>31</v>
      </c>
      <c r="DX235">
        <v>100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21</v>
      </c>
      <c r="EH235">
        <v>0</v>
      </c>
      <c r="EI235" t="s">
        <v>3</v>
      </c>
      <c r="EJ235">
        <v>4</v>
      </c>
      <c r="EK235">
        <v>0</v>
      </c>
      <c r="EL235" t="s">
        <v>22</v>
      </c>
      <c r="EM235" t="s">
        <v>23</v>
      </c>
      <c r="EO235" t="s">
        <v>3</v>
      </c>
      <c r="EQ235">
        <v>1024</v>
      </c>
      <c r="ER235">
        <v>2710.63</v>
      </c>
      <c r="ES235">
        <v>56.26</v>
      </c>
      <c r="ET235">
        <v>0</v>
      </c>
      <c r="EU235">
        <v>0</v>
      </c>
      <c r="EV235">
        <v>2654.37</v>
      </c>
      <c r="EW235">
        <v>8.15</v>
      </c>
      <c r="EX235">
        <v>0</v>
      </c>
      <c r="EY235">
        <v>0</v>
      </c>
      <c r="FQ235">
        <v>0</v>
      </c>
      <c r="FR235">
        <f t="shared" si="194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-729031507</v>
      </c>
      <c r="GG235">
        <v>2</v>
      </c>
      <c r="GH235">
        <v>1</v>
      </c>
      <c r="GI235">
        <v>-2</v>
      </c>
      <c r="GJ235">
        <v>0</v>
      </c>
      <c r="GK235">
        <f>ROUND(R235*(R12)/100,2)</f>
        <v>0</v>
      </c>
      <c r="GL235">
        <f t="shared" si="195"/>
        <v>0</v>
      </c>
      <c r="GM235">
        <f t="shared" si="196"/>
        <v>94748.88</v>
      </c>
      <c r="GN235">
        <f t="shared" si="197"/>
        <v>0</v>
      </c>
      <c r="GO235">
        <f t="shared" si="198"/>
        <v>0</v>
      </c>
      <c r="GP235">
        <f t="shared" si="199"/>
        <v>94748.88</v>
      </c>
      <c r="GR235">
        <v>0</v>
      </c>
      <c r="GS235">
        <v>3</v>
      </c>
      <c r="GT235">
        <v>0</v>
      </c>
      <c r="GU235" t="s">
        <v>3</v>
      </c>
      <c r="GV235">
        <f t="shared" si="200"/>
        <v>0</v>
      </c>
      <c r="GW235">
        <v>1</v>
      </c>
      <c r="GX235">
        <f t="shared" si="201"/>
        <v>0</v>
      </c>
      <c r="HA235">
        <v>0</v>
      </c>
      <c r="HB235">
        <v>0</v>
      </c>
      <c r="HC235">
        <f t="shared" si="202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17</v>
      </c>
      <c r="B236">
        <v>1</v>
      </c>
      <c r="D236">
        <f>ROW(EtalonRes!A143)</f>
        <v>143</v>
      </c>
      <c r="E236" t="s">
        <v>3</v>
      </c>
      <c r="F236" t="s">
        <v>83</v>
      </c>
      <c r="G236" t="s">
        <v>254</v>
      </c>
      <c r="H236" t="s">
        <v>31</v>
      </c>
      <c r="I236">
        <f>ROUND(8/100,9)</f>
        <v>0.08</v>
      </c>
      <c r="J236">
        <v>0</v>
      </c>
      <c r="K236">
        <f>ROUND(8/100,9)</f>
        <v>0.08</v>
      </c>
      <c r="O236">
        <f t="shared" si="170"/>
        <v>53128.35</v>
      </c>
      <c r="P236">
        <f t="shared" si="171"/>
        <v>1102.7</v>
      </c>
      <c r="Q236">
        <f t="shared" si="172"/>
        <v>0</v>
      </c>
      <c r="R236">
        <f t="shared" si="173"/>
        <v>0</v>
      </c>
      <c r="S236">
        <f t="shared" si="174"/>
        <v>52025.65</v>
      </c>
      <c r="T236">
        <f t="shared" si="175"/>
        <v>0</v>
      </c>
      <c r="U236">
        <f t="shared" si="176"/>
        <v>159.74</v>
      </c>
      <c r="V236">
        <f t="shared" si="177"/>
        <v>0</v>
      </c>
      <c r="W236">
        <f t="shared" si="178"/>
        <v>0</v>
      </c>
      <c r="X236">
        <f t="shared" si="179"/>
        <v>36417.96</v>
      </c>
      <c r="Y236">
        <f t="shared" si="180"/>
        <v>5202.57</v>
      </c>
      <c r="AA236">
        <v>-1</v>
      </c>
      <c r="AB236">
        <f t="shared" si="181"/>
        <v>664104.35</v>
      </c>
      <c r="AC236">
        <f>ROUND(((ES236*245)),6)</f>
        <v>13783.7</v>
      </c>
      <c r="AD236">
        <f>ROUND((((ET236)-(EU236))+AE236),6)</f>
        <v>0</v>
      </c>
      <c r="AE236">
        <f>ROUND((EU236),6)</f>
        <v>0</v>
      </c>
      <c r="AF236">
        <f>ROUND(((EV236*245)),6)</f>
        <v>650320.65</v>
      </c>
      <c r="AG236">
        <f t="shared" si="182"/>
        <v>0</v>
      </c>
      <c r="AH236">
        <f>((EW236*245))</f>
        <v>1996.75</v>
      </c>
      <c r="AI236">
        <f>(EX236)</f>
        <v>0</v>
      </c>
      <c r="AJ236">
        <f t="shared" si="183"/>
        <v>0</v>
      </c>
      <c r="AK236">
        <v>2710.63</v>
      </c>
      <c r="AL236">
        <v>56.26</v>
      </c>
      <c r="AM236">
        <v>0</v>
      </c>
      <c r="AN236">
        <v>0</v>
      </c>
      <c r="AO236">
        <v>2654.37</v>
      </c>
      <c r="AP236">
        <v>0</v>
      </c>
      <c r="AQ236">
        <v>8.15</v>
      </c>
      <c r="AR236">
        <v>0</v>
      </c>
      <c r="AS236">
        <v>0</v>
      </c>
      <c r="AT236">
        <v>70</v>
      </c>
      <c r="AU236">
        <v>10</v>
      </c>
      <c r="AV236">
        <v>1</v>
      </c>
      <c r="AW236">
        <v>1</v>
      </c>
      <c r="AZ236">
        <v>1</v>
      </c>
      <c r="BA236">
        <v>1</v>
      </c>
      <c r="BB236">
        <v>1</v>
      </c>
      <c r="BC236">
        <v>1</v>
      </c>
      <c r="BD236" t="s">
        <v>3</v>
      </c>
      <c r="BE236" t="s">
        <v>3</v>
      </c>
      <c r="BF236" t="s">
        <v>3</v>
      </c>
      <c r="BG236" t="s">
        <v>3</v>
      </c>
      <c r="BH236">
        <v>0</v>
      </c>
      <c r="BI236">
        <v>4</v>
      </c>
      <c r="BJ236" t="s">
        <v>85</v>
      </c>
      <c r="BM236">
        <v>0</v>
      </c>
      <c r="BN236">
        <v>0</v>
      </c>
      <c r="BO236" t="s">
        <v>3</v>
      </c>
      <c r="BP236">
        <v>0</v>
      </c>
      <c r="BQ236">
        <v>1</v>
      </c>
      <c r="BR236">
        <v>0</v>
      </c>
      <c r="BS236">
        <v>1</v>
      </c>
      <c r="BT236">
        <v>1</v>
      </c>
      <c r="BU236">
        <v>1</v>
      </c>
      <c r="BV236">
        <v>1</v>
      </c>
      <c r="BW236">
        <v>1</v>
      </c>
      <c r="BX236">
        <v>1</v>
      </c>
      <c r="BY236" t="s">
        <v>3</v>
      </c>
      <c r="BZ236">
        <v>70</v>
      </c>
      <c r="CA236">
        <v>10</v>
      </c>
      <c r="CB236" t="s">
        <v>3</v>
      </c>
      <c r="CE236">
        <v>0</v>
      </c>
      <c r="CF236">
        <v>0</v>
      </c>
      <c r="CG236">
        <v>0</v>
      </c>
      <c r="CM236">
        <v>0</v>
      </c>
      <c r="CN236" t="s">
        <v>3</v>
      </c>
      <c r="CO236">
        <v>0</v>
      </c>
      <c r="CP236">
        <f t="shared" si="184"/>
        <v>53128.35</v>
      </c>
      <c r="CQ236">
        <f t="shared" si="185"/>
        <v>13783.7</v>
      </c>
      <c r="CR236">
        <f>((((ET236)*BB236-(EU236)*BS236)+AE236*BS236)*AV236)</f>
        <v>0</v>
      </c>
      <c r="CS236">
        <f t="shared" si="186"/>
        <v>0</v>
      </c>
      <c r="CT236">
        <f t="shared" si="187"/>
        <v>650320.65</v>
      </c>
      <c r="CU236">
        <f t="shared" si="188"/>
        <v>0</v>
      </c>
      <c r="CV236">
        <f t="shared" si="189"/>
        <v>1996.75</v>
      </c>
      <c r="CW236">
        <f t="shared" si="190"/>
        <v>0</v>
      </c>
      <c r="CX236">
        <f t="shared" si="191"/>
        <v>0</v>
      </c>
      <c r="CY236">
        <f t="shared" si="192"/>
        <v>36417.955000000002</v>
      </c>
      <c r="CZ236">
        <f t="shared" si="193"/>
        <v>5202.5649999999996</v>
      </c>
      <c r="DC236" t="s">
        <v>3</v>
      </c>
      <c r="DD236" t="s">
        <v>82</v>
      </c>
      <c r="DE236" t="s">
        <v>3</v>
      </c>
      <c r="DF236" t="s">
        <v>3</v>
      </c>
      <c r="DG236" t="s">
        <v>82</v>
      </c>
      <c r="DH236" t="s">
        <v>3</v>
      </c>
      <c r="DI236" t="s">
        <v>82</v>
      </c>
      <c r="DJ236" t="s">
        <v>3</v>
      </c>
      <c r="DK236" t="s">
        <v>3</v>
      </c>
      <c r="DL236" t="s">
        <v>3</v>
      </c>
      <c r="DM236" t="s">
        <v>3</v>
      </c>
      <c r="DN236">
        <v>0</v>
      </c>
      <c r="DO236">
        <v>0</v>
      </c>
      <c r="DP236">
        <v>1</v>
      </c>
      <c r="DQ236">
        <v>1</v>
      </c>
      <c r="DU236">
        <v>16987630</v>
      </c>
      <c r="DV236" t="s">
        <v>31</v>
      </c>
      <c r="DW236" t="s">
        <v>31</v>
      </c>
      <c r="DX236">
        <v>100</v>
      </c>
      <c r="DZ236" t="s">
        <v>3</v>
      </c>
      <c r="EA236" t="s">
        <v>3</v>
      </c>
      <c r="EB236" t="s">
        <v>3</v>
      </c>
      <c r="EC236" t="s">
        <v>3</v>
      </c>
      <c r="EE236">
        <v>1441815344</v>
      </c>
      <c r="EF236">
        <v>1</v>
      </c>
      <c r="EG236" t="s">
        <v>21</v>
      </c>
      <c r="EH236">
        <v>0</v>
      </c>
      <c r="EI236" t="s">
        <v>3</v>
      </c>
      <c r="EJ236">
        <v>4</v>
      </c>
      <c r="EK236">
        <v>0</v>
      </c>
      <c r="EL236" t="s">
        <v>22</v>
      </c>
      <c r="EM236" t="s">
        <v>23</v>
      </c>
      <c r="EO236" t="s">
        <v>3</v>
      </c>
      <c r="EQ236">
        <v>1024</v>
      </c>
      <c r="ER236">
        <v>2710.63</v>
      </c>
      <c r="ES236">
        <v>56.26</v>
      </c>
      <c r="ET236">
        <v>0</v>
      </c>
      <c r="EU236">
        <v>0</v>
      </c>
      <c r="EV236">
        <v>2654.37</v>
      </c>
      <c r="EW236">
        <v>8.15</v>
      </c>
      <c r="EX236">
        <v>0</v>
      </c>
      <c r="EY236">
        <v>0</v>
      </c>
      <c r="FQ236">
        <v>0</v>
      </c>
      <c r="FR236">
        <f t="shared" si="194"/>
        <v>0</v>
      </c>
      <c r="FS236">
        <v>0</v>
      </c>
      <c r="FX236">
        <v>70</v>
      </c>
      <c r="FY236">
        <v>10</v>
      </c>
      <c r="GA236" t="s">
        <v>3</v>
      </c>
      <c r="GD236">
        <v>0</v>
      </c>
      <c r="GF236">
        <v>-86013364</v>
      </c>
      <c r="GG236">
        <v>2</v>
      </c>
      <c r="GH236">
        <v>1</v>
      </c>
      <c r="GI236">
        <v>-2</v>
      </c>
      <c r="GJ236">
        <v>0</v>
      </c>
      <c r="GK236">
        <f>ROUND(R236*(R12)/100,2)</f>
        <v>0</v>
      </c>
      <c r="GL236">
        <f t="shared" si="195"/>
        <v>0</v>
      </c>
      <c r="GM236">
        <f t="shared" si="196"/>
        <v>94748.88</v>
      </c>
      <c r="GN236">
        <f t="shared" si="197"/>
        <v>0</v>
      </c>
      <c r="GO236">
        <f t="shared" si="198"/>
        <v>0</v>
      </c>
      <c r="GP236">
        <f t="shared" si="199"/>
        <v>94748.88</v>
      </c>
      <c r="GR236">
        <v>0</v>
      </c>
      <c r="GS236">
        <v>3</v>
      </c>
      <c r="GT236">
        <v>0</v>
      </c>
      <c r="GU236" t="s">
        <v>3</v>
      </c>
      <c r="GV236">
        <f t="shared" si="200"/>
        <v>0</v>
      </c>
      <c r="GW236">
        <v>1</v>
      </c>
      <c r="GX236">
        <f t="shared" si="201"/>
        <v>0</v>
      </c>
      <c r="HA236">
        <v>0</v>
      </c>
      <c r="HB236">
        <v>0</v>
      </c>
      <c r="HC236">
        <f t="shared" si="202"/>
        <v>0</v>
      </c>
      <c r="HE236" t="s">
        <v>3</v>
      </c>
      <c r="HF236" t="s">
        <v>3</v>
      </c>
      <c r="HM236" t="s">
        <v>3</v>
      </c>
      <c r="HN236" t="s">
        <v>3</v>
      </c>
      <c r="HO236" t="s">
        <v>3</v>
      </c>
      <c r="HP236" t="s">
        <v>3</v>
      </c>
      <c r="HQ236" t="s">
        <v>3</v>
      </c>
      <c r="IK236">
        <v>0</v>
      </c>
    </row>
    <row r="238" spans="1:245" x14ac:dyDescent="0.2">
      <c r="A238" s="2">
        <v>51</v>
      </c>
      <c r="B238" s="2">
        <f>B213</f>
        <v>1</v>
      </c>
      <c r="C238" s="2">
        <f>A213</f>
        <v>5</v>
      </c>
      <c r="D238" s="2">
        <f>ROW(A213)</f>
        <v>213</v>
      </c>
      <c r="E238" s="2"/>
      <c r="F238" s="2" t="str">
        <f>IF(F213&lt;&gt;"",F213,"")</f>
        <v>Новый подраздел</v>
      </c>
      <c r="G238" s="2" t="str">
        <f>IF(G213&lt;&gt;"",G213,"")</f>
        <v>Оборудование водоснабжения и водоотведения</v>
      </c>
      <c r="H238" s="2">
        <v>0</v>
      </c>
      <c r="I238" s="2"/>
      <c r="J238" s="2"/>
      <c r="K238" s="2"/>
      <c r="L238" s="2"/>
      <c r="M238" s="2"/>
      <c r="N238" s="2"/>
      <c r="O238" s="2">
        <f t="shared" ref="O238:T238" si="207">ROUND(AB238,2)</f>
        <v>16253.95</v>
      </c>
      <c r="P238" s="2">
        <f t="shared" si="207"/>
        <v>143.72999999999999</v>
      </c>
      <c r="Q238" s="2">
        <f t="shared" si="207"/>
        <v>635.34</v>
      </c>
      <c r="R238" s="2">
        <f t="shared" si="207"/>
        <v>396.68</v>
      </c>
      <c r="S238" s="2">
        <f t="shared" si="207"/>
        <v>15474.88</v>
      </c>
      <c r="T238" s="2">
        <f t="shared" si="207"/>
        <v>0</v>
      </c>
      <c r="U238" s="2">
        <f>AH238</f>
        <v>29.479200000000002</v>
      </c>
      <c r="V238" s="2">
        <f>AI238</f>
        <v>0</v>
      </c>
      <c r="W238" s="2">
        <f>ROUND(AJ238,2)</f>
        <v>0</v>
      </c>
      <c r="X238" s="2">
        <f>ROUND(AK238,2)</f>
        <v>10832.41</v>
      </c>
      <c r="Y238" s="2">
        <f>ROUND(AL238,2)</f>
        <v>1547.49</v>
      </c>
      <c r="Z238" s="2"/>
      <c r="AA238" s="2"/>
      <c r="AB238" s="2">
        <f>ROUND(SUMIF(AA217:AA236,"=1471531721",O217:O236),2)</f>
        <v>16253.95</v>
      </c>
      <c r="AC238" s="2">
        <f>ROUND(SUMIF(AA217:AA236,"=1471531721",P217:P236),2)</f>
        <v>143.72999999999999</v>
      </c>
      <c r="AD238" s="2">
        <f>ROUND(SUMIF(AA217:AA236,"=1471531721",Q217:Q236),2)</f>
        <v>635.34</v>
      </c>
      <c r="AE238" s="2">
        <f>ROUND(SUMIF(AA217:AA236,"=1471531721",R217:R236),2)</f>
        <v>396.68</v>
      </c>
      <c r="AF238" s="2">
        <f>ROUND(SUMIF(AA217:AA236,"=1471531721",S217:S236),2)</f>
        <v>15474.88</v>
      </c>
      <c r="AG238" s="2">
        <f>ROUND(SUMIF(AA217:AA236,"=1471531721",T217:T236),2)</f>
        <v>0</v>
      </c>
      <c r="AH238" s="2">
        <f>SUMIF(AA217:AA236,"=1471531721",U217:U236)</f>
        <v>29.479200000000002</v>
      </c>
      <c r="AI238" s="2">
        <f>SUMIF(AA217:AA236,"=1471531721",V217:V236)</f>
        <v>0</v>
      </c>
      <c r="AJ238" s="2">
        <f>ROUND(SUMIF(AA217:AA236,"=1471531721",W217:W236),2)</f>
        <v>0</v>
      </c>
      <c r="AK238" s="2">
        <f>ROUND(SUMIF(AA217:AA236,"=1471531721",X217:X236),2)</f>
        <v>10832.41</v>
      </c>
      <c r="AL238" s="2">
        <f>ROUND(SUMIF(AA217:AA236,"=1471531721",Y217:Y236),2)</f>
        <v>1547.49</v>
      </c>
      <c r="AM238" s="2"/>
      <c r="AN238" s="2"/>
      <c r="AO238" s="2">
        <f t="shared" ref="AO238:BD238" si="208">ROUND(BX238,2)</f>
        <v>0</v>
      </c>
      <c r="AP238" s="2">
        <f t="shared" si="208"/>
        <v>0</v>
      </c>
      <c r="AQ238" s="2">
        <f t="shared" si="208"/>
        <v>0</v>
      </c>
      <c r="AR238" s="2">
        <f t="shared" si="208"/>
        <v>29062.25</v>
      </c>
      <c r="AS238" s="2">
        <f t="shared" si="208"/>
        <v>0</v>
      </c>
      <c r="AT238" s="2">
        <f t="shared" si="208"/>
        <v>0</v>
      </c>
      <c r="AU238" s="2">
        <f t="shared" si="208"/>
        <v>29062.25</v>
      </c>
      <c r="AV238" s="2">
        <f t="shared" si="208"/>
        <v>143.72999999999999</v>
      </c>
      <c r="AW238" s="2">
        <f t="shared" si="208"/>
        <v>143.72999999999999</v>
      </c>
      <c r="AX238" s="2">
        <f t="shared" si="208"/>
        <v>0</v>
      </c>
      <c r="AY238" s="2">
        <f t="shared" si="208"/>
        <v>143.72999999999999</v>
      </c>
      <c r="AZ238" s="2">
        <f t="shared" si="208"/>
        <v>0</v>
      </c>
      <c r="BA238" s="2">
        <f t="shared" si="208"/>
        <v>0</v>
      </c>
      <c r="BB238" s="2">
        <f t="shared" si="208"/>
        <v>0</v>
      </c>
      <c r="BC238" s="2">
        <f t="shared" si="208"/>
        <v>0</v>
      </c>
      <c r="BD238" s="2">
        <f t="shared" si="208"/>
        <v>0</v>
      </c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>
        <f>ROUND(SUMIF(AA217:AA236,"=1471531721",FQ217:FQ236),2)</f>
        <v>0</v>
      </c>
      <c r="BY238" s="2">
        <f>ROUND(SUMIF(AA217:AA236,"=1471531721",FR217:FR236),2)</f>
        <v>0</v>
      </c>
      <c r="BZ238" s="2">
        <f>ROUND(SUMIF(AA217:AA236,"=1471531721",GL217:GL236),2)</f>
        <v>0</v>
      </c>
      <c r="CA238" s="2">
        <f>ROUND(SUMIF(AA217:AA236,"=1471531721",GM217:GM236),2)</f>
        <v>29062.25</v>
      </c>
      <c r="CB238" s="2">
        <f>ROUND(SUMIF(AA217:AA236,"=1471531721",GN217:GN236),2)</f>
        <v>0</v>
      </c>
      <c r="CC238" s="2">
        <f>ROUND(SUMIF(AA217:AA236,"=1471531721",GO217:GO236),2)</f>
        <v>0</v>
      </c>
      <c r="CD238" s="2">
        <f>ROUND(SUMIF(AA217:AA236,"=1471531721",GP217:GP236),2)</f>
        <v>29062.25</v>
      </c>
      <c r="CE238" s="2">
        <f>AC238-BX238</f>
        <v>143.72999999999999</v>
      </c>
      <c r="CF238" s="2">
        <f>AC238-BY238</f>
        <v>143.72999999999999</v>
      </c>
      <c r="CG238" s="2">
        <f>BX238-BZ238</f>
        <v>0</v>
      </c>
      <c r="CH238" s="2">
        <f>AC238-BX238-BY238+BZ238</f>
        <v>143.72999999999999</v>
      </c>
      <c r="CI238" s="2">
        <f>BY238-BZ238</f>
        <v>0</v>
      </c>
      <c r="CJ238" s="2">
        <f>ROUND(SUMIF(AA217:AA236,"=1471531721",GX217:GX236),2)</f>
        <v>0</v>
      </c>
      <c r="CK238" s="2">
        <f>ROUND(SUMIF(AA217:AA236,"=1471531721",GY217:GY236),2)</f>
        <v>0</v>
      </c>
      <c r="CL238" s="2">
        <f>ROUND(SUMIF(AA217:AA236,"=1471531721",GZ217:GZ236),2)</f>
        <v>0</v>
      </c>
      <c r="CM238" s="2">
        <f>ROUND(SUMIF(AA217:AA236,"=1471531721",HD217:HD236),2)</f>
        <v>0</v>
      </c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  <c r="DW238" s="3"/>
      <c r="DX238" s="3"/>
      <c r="DY238" s="3"/>
      <c r="DZ238" s="3"/>
      <c r="EA238" s="3"/>
      <c r="EB238" s="3"/>
      <c r="EC238" s="3"/>
      <c r="ED238" s="3"/>
      <c r="EE238" s="3"/>
      <c r="EF238" s="3"/>
      <c r="EG238" s="3"/>
      <c r="EH238" s="3"/>
      <c r="EI238" s="3"/>
      <c r="EJ238" s="3"/>
      <c r="EK238" s="3"/>
      <c r="EL238" s="3"/>
      <c r="EM238" s="3"/>
      <c r="EN238" s="3"/>
      <c r="EO238" s="3"/>
      <c r="EP238" s="3"/>
      <c r="EQ238" s="3"/>
      <c r="ER238" s="3"/>
      <c r="ES238" s="3"/>
      <c r="ET238" s="3"/>
      <c r="EU238" s="3"/>
      <c r="EV238" s="3"/>
      <c r="EW238" s="3"/>
      <c r="EX238" s="3"/>
      <c r="EY238" s="3"/>
      <c r="EZ238" s="3"/>
      <c r="FA238" s="3"/>
      <c r="FB238" s="3"/>
      <c r="FC238" s="3"/>
      <c r="FD238" s="3"/>
      <c r="FE238" s="3"/>
      <c r="FF238" s="3"/>
      <c r="FG238" s="3"/>
      <c r="FH238" s="3"/>
      <c r="FI238" s="3"/>
      <c r="FJ238" s="3"/>
      <c r="FK238" s="3"/>
      <c r="FL238" s="3"/>
      <c r="FM238" s="3"/>
      <c r="FN238" s="3"/>
      <c r="FO238" s="3"/>
      <c r="FP238" s="3"/>
      <c r="FQ238" s="3"/>
      <c r="FR238" s="3"/>
      <c r="FS238" s="3"/>
      <c r="FT238" s="3"/>
      <c r="FU238" s="3"/>
      <c r="FV238" s="3"/>
      <c r="FW238" s="3"/>
      <c r="FX238" s="3"/>
      <c r="FY238" s="3"/>
      <c r="FZ238" s="3"/>
      <c r="GA238" s="3"/>
      <c r="GB238" s="3"/>
      <c r="GC238" s="3"/>
      <c r="GD238" s="3"/>
      <c r="GE238" s="3"/>
      <c r="GF238" s="3"/>
      <c r="GG238" s="3"/>
      <c r="GH238" s="3"/>
      <c r="GI238" s="3"/>
      <c r="GJ238" s="3"/>
      <c r="GK238" s="3"/>
      <c r="GL238" s="3"/>
      <c r="GM238" s="3"/>
      <c r="GN238" s="3"/>
      <c r="GO238" s="3"/>
      <c r="GP238" s="3"/>
      <c r="GQ238" s="3"/>
      <c r="GR238" s="3"/>
      <c r="GS238" s="3"/>
      <c r="GT238" s="3"/>
      <c r="GU238" s="3"/>
      <c r="GV238" s="3"/>
      <c r="GW238" s="3"/>
      <c r="GX238" s="3">
        <v>0</v>
      </c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201</v>
      </c>
      <c r="F240" s="4">
        <f>ROUND(Source!O238,O240)</f>
        <v>16253.95</v>
      </c>
      <c r="G240" s="4" t="s">
        <v>86</v>
      </c>
      <c r="H240" s="4" t="s">
        <v>87</v>
      </c>
      <c r="I240" s="4"/>
      <c r="J240" s="4"/>
      <c r="K240" s="4">
        <v>201</v>
      </c>
      <c r="L240" s="4">
        <v>1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202</v>
      </c>
      <c r="F241" s="4">
        <f>ROUND(Source!P238,O241)</f>
        <v>143.72999999999999</v>
      </c>
      <c r="G241" s="4" t="s">
        <v>88</v>
      </c>
      <c r="H241" s="4" t="s">
        <v>89</v>
      </c>
      <c r="I241" s="4"/>
      <c r="J241" s="4"/>
      <c r="K241" s="4">
        <v>202</v>
      </c>
      <c r="L241" s="4">
        <v>2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222</v>
      </c>
      <c r="F242" s="4">
        <f>ROUND(Source!AO238,O242)</f>
        <v>0</v>
      </c>
      <c r="G242" s="4" t="s">
        <v>90</v>
      </c>
      <c r="H242" s="4" t="s">
        <v>91</v>
      </c>
      <c r="I242" s="4"/>
      <c r="J242" s="4"/>
      <c r="K242" s="4">
        <v>222</v>
      </c>
      <c r="L242" s="4">
        <v>3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225</v>
      </c>
      <c r="F243" s="4">
        <f>ROUND(Source!AV238,O243)</f>
        <v>143.72999999999999</v>
      </c>
      <c r="G243" s="4" t="s">
        <v>92</v>
      </c>
      <c r="H243" s="4" t="s">
        <v>93</v>
      </c>
      <c r="I243" s="4"/>
      <c r="J243" s="4"/>
      <c r="K243" s="4">
        <v>225</v>
      </c>
      <c r="L243" s="4">
        <v>4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226</v>
      </c>
      <c r="F244" s="4">
        <f>ROUND(Source!AW238,O244)</f>
        <v>143.72999999999999</v>
      </c>
      <c r="G244" s="4" t="s">
        <v>94</v>
      </c>
      <c r="H244" s="4" t="s">
        <v>95</v>
      </c>
      <c r="I244" s="4"/>
      <c r="J244" s="4"/>
      <c r="K244" s="4">
        <v>226</v>
      </c>
      <c r="L244" s="4">
        <v>5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227</v>
      </c>
      <c r="F245" s="4">
        <f>ROUND(Source!AX238,O245)</f>
        <v>0</v>
      </c>
      <c r="G245" s="4" t="s">
        <v>96</v>
      </c>
      <c r="H245" s="4" t="s">
        <v>97</v>
      </c>
      <c r="I245" s="4"/>
      <c r="J245" s="4"/>
      <c r="K245" s="4">
        <v>227</v>
      </c>
      <c r="L245" s="4">
        <v>6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228</v>
      </c>
      <c r="F246" s="4">
        <f>ROUND(Source!AY238,O246)</f>
        <v>143.72999999999999</v>
      </c>
      <c r="G246" s="4" t="s">
        <v>98</v>
      </c>
      <c r="H246" s="4" t="s">
        <v>99</v>
      </c>
      <c r="I246" s="4"/>
      <c r="J246" s="4"/>
      <c r="K246" s="4">
        <v>228</v>
      </c>
      <c r="L246" s="4">
        <v>7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216</v>
      </c>
      <c r="F247" s="4">
        <f>ROUND(Source!AP238,O247)</f>
        <v>0</v>
      </c>
      <c r="G247" s="4" t="s">
        <v>100</v>
      </c>
      <c r="H247" s="4" t="s">
        <v>101</v>
      </c>
      <c r="I247" s="4"/>
      <c r="J247" s="4"/>
      <c r="K247" s="4">
        <v>216</v>
      </c>
      <c r="L247" s="4">
        <v>8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223</v>
      </c>
      <c r="F248" s="4">
        <f>ROUND(Source!AQ238,O248)</f>
        <v>0</v>
      </c>
      <c r="G248" s="4" t="s">
        <v>102</v>
      </c>
      <c r="H248" s="4" t="s">
        <v>103</v>
      </c>
      <c r="I248" s="4"/>
      <c r="J248" s="4"/>
      <c r="K248" s="4">
        <v>223</v>
      </c>
      <c r="L248" s="4">
        <v>9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229</v>
      </c>
      <c r="F249" s="4">
        <f>ROUND(Source!AZ238,O249)</f>
        <v>0</v>
      </c>
      <c r="G249" s="4" t="s">
        <v>104</v>
      </c>
      <c r="H249" s="4" t="s">
        <v>105</v>
      </c>
      <c r="I249" s="4"/>
      <c r="J249" s="4"/>
      <c r="K249" s="4">
        <v>229</v>
      </c>
      <c r="L249" s="4">
        <v>10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203</v>
      </c>
      <c r="F250" s="4">
        <f>ROUND(Source!Q238,O250)</f>
        <v>635.34</v>
      </c>
      <c r="G250" s="4" t="s">
        <v>106</v>
      </c>
      <c r="H250" s="4" t="s">
        <v>107</v>
      </c>
      <c r="I250" s="4"/>
      <c r="J250" s="4"/>
      <c r="K250" s="4">
        <v>203</v>
      </c>
      <c r="L250" s="4">
        <v>11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231</v>
      </c>
      <c r="F251" s="4">
        <f>ROUND(Source!BB238,O251)</f>
        <v>0</v>
      </c>
      <c r="G251" s="4" t="s">
        <v>108</v>
      </c>
      <c r="H251" s="4" t="s">
        <v>109</v>
      </c>
      <c r="I251" s="4"/>
      <c r="J251" s="4"/>
      <c r="K251" s="4">
        <v>231</v>
      </c>
      <c r="L251" s="4">
        <v>12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204</v>
      </c>
      <c r="F252" s="4">
        <f>ROUND(Source!R238,O252)</f>
        <v>396.68</v>
      </c>
      <c r="G252" s="4" t="s">
        <v>110</v>
      </c>
      <c r="H252" s="4" t="s">
        <v>111</v>
      </c>
      <c r="I252" s="4"/>
      <c r="J252" s="4"/>
      <c r="K252" s="4">
        <v>204</v>
      </c>
      <c r="L252" s="4">
        <v>13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205</v>
      </c>
      <c r="F253" s="4">
        <f>ROUND(Source!S238,O253)</f>
        <v>15474.88</v>
      </c>
      <c r="G253" s="4" t="s">
        <v>112</v>
      </c>
      <c r="H253" s="4" t="s">
        <v>113</v>
      </c>
      <c r="I253" s="4"/>
      <c r="J253" s="4"/>
      <c r="K253" s="4">
        <v>205</v>
      </c>
      <c r="L253" s="4">
        <v>14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232</v>
      </c>
      <c r="F254" s="4">
        <f>ROUND(Source!BC238,O254)</f>
        <v>0</v>
      </c>
      <c r="G254" s="4" t="s">
        <v>114</v>
      </c>
      <c r="H254" s="4" t="s">
        <v>115</v>
      </c>
      <c r="I254" s="4"/>
      <c r="J254" s="4"/>
      <c r="K254" s="4">
        <v>232</v>
      </c>
      <c r="L254" s="4">
        <v>15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214</v>
      </c>
      <c r="F255" s="4">
        <f>ROUND(Source!AS238,O255)</f>
        <v>0</v>
      </c>
      <c r="G255" s="4" t="s">
        <v>116</v>
      </c>
      <c r="H255" s="4" t="s">
        <v>117</v>
      </c>
      <c r="I255" s="4"/>
      <c r="J255" s="4"/>
      <c r="K255" s="4">
        <v>214</v>
      </c>
      <c r="L255" s="4">
        <v>16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215</v>
      </c>
      <c r="F256" s="4">
        <f>ROUND(Source!AT238,O256)</f>
        <v>0</v>
      </c>
      <c r="G256" s="4" t="s">
        <v>118</v>
      </c>
      <c r="H256" s="4" t="s">
        <v>119</v>
      </c>
      <c r="I256" s="4"/>
      <c r="J256" s="4"/>
      <c r="K256" s="4">
        <v>215</v>
      </c>
      <c r="L256" s="4">
        <v>17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217</v>
      </c>
      <c r="F257" s="4">
        <f>ROUND(Source!AU238,O257)</f>
        <v>29062.25</v>
      </c>
      <c r="G257" s="4" t="s">
        <v>120</v>
      </c>
      <c r="H257" s="4" t="s">
        <v>121</v>
      </c>
      <c r="I257" s="4"/>
      <c r="J257" s="4"/>
      <c r="K257" s="4">
        <v>217</v>
      </c>
      <c r="L257" s="4">
        <v>18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230</v>
      </c>
      <c r="F258" s="4">
        <f>ROUND(Source!BA238,O258)</f>
        <v>0</v>
      </c>
      <c r="G258" s="4" t="s">
        <v>122</v>
      </c>
      <c r="H258" s="4" t="s">
        <v>123</v>
      </c>
      <c r="I258" s="4"/>
      <c r="J258" s="4"/>
      <c r="K258" s="4">
        <v>230</v>
      </c>
      <c r="L258" s="4">
        <v>19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206</v>
      </c>
      <c r="F259" s="4">
        <f>ROUND(Source!T238,O259)</f>
        <v>0</v>
      </c>
      <c r="G259" s="4" t="s">
        <v>124</v>
      </c>
      <c r="H259" s="4" t="s">
        <v>125</v>
      </c>
      <c r="I259" s="4"/>
      <c r="J259" s="4"/>
      <c r="K259" s="4">
        <v>206</v>
      </c>
      <c r="L259" s="4">
        <v>20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45" x14ac:dyDescent="0.2">
      <c r="A260" s="4">
        <v>50</v>
      </c>
      <c r="B260" s="4">
        <v>0</v>
      </c>
      <c r="C260" s="4">
        <v>0</v>
      </c>
      <c r="D260" s="4">
        <v>1</v>
      </c>
      <c r="E260" s="4">
        <v>207</v>
      </c>
      <c r="F260" s="4">
        <f>Source!U238</f>
        <v>29.479200000000002</v>
      </c>
      <c r="G260" s="4" t="s">
        <v>126</v>
      </c>
      <c r="H260" s="4" t="s">
        <v>127</v>
      </c>
      <c r="I260" s="4"/>
      <c r="J260" s="4"/>
      <c r="K260" s="4">
        <v>207</v>
      </c>
      <c r="L260" s="4">
        <v>21</v>
      </c>
      <c r="M260" s="4">
        <v>3</v>
      </c>
      <c r="N260" s="4" t="s">
        <v>3</v>
      </c>
      <c r="O260" s="4">
        <v>-1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45" x14ac:dyDescent="0.2">
      <c r="A261" s="4">
        <v>50</v>
      </c>
      <c r="B261" s="4">
        <v>0</v>
      </c>
      <c r="C261" s="4">
        <v>0</v>
      </c>
      <c r="D261" s="4">
        <v>1</v>
      </c>
      <c r="E261" s="4">
        <v>208</v>
      </c>
      <c r="F261" s="4">
        <f>Source!V238</f>
        <v>0</v>
      </c>
      <c r="G261" s="4" t="s">
        <v>128</v>
      </c>
      <c r="H261" s="4" t="s">
        <v>129</v>
      </c>
      <c r="I261" s="4"/>
      <c r="J261" s="4"/>
      <c r="K261" s="4">
        <v>208</v>
      </c>
      <c r="L261" s="4">
        <v>22</v>
      </c>
      <c r="M261" s="4">
        <v>3</v>
      </c>
      <c r="N261" s="4" t="s">
        <v>3</v>
      </c>
      <c r="O261" s="4">
        <v>-1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45" x14ac:dyDescent="0.2">
      <c r="A262" s="4">
        <v>50</v>
      </c>
      <c r="B262" s="4">
        <v>0</v>
      </c>
      <c r="C262" s="4">
        <v>0</v>
      </c>
      <c r="D262" s="4">
        <v>1</v>
      </c>
      <c r="E262" s="4">
        <v>209</v>
      </c>
      <c r="F262" s="4">
        <f>ROUND(Source!W238,O262)</f>
        <v>0</v>
      </c>
      <c r="G262" s="4" t="s">
        <v>130</v>
      </c>
      <c r="H262" s="4" t="s">
        <v>131</v>
      </c>
      <c r="I262" s="4"/>
      <c r="J262" s="4"/>
      <c r="K262" s="4">
        <v>209</v>
      </c>
      <c r="L262" s="4">
        <v>23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45" x14ac:dyDescent="0.2">
      <c r="A263" s="4">
        <v>50</v>
      </c>
      <c r="B263" s="4">
        <v>0</v>
      </c>
      <c r="C263" s="4">
        <v>0</v>
      </c>
      <c r="D263" s="4">
        <v>1</v>
      </c>
      <c r="E263" s="4">
        <v>233</v>
      </c>
      <c r="F263" s="4">
        <f>ROUND(Source!BD238,O263)</f>
        <v>0</v>
      </c>
      <c r="G263" s="4" t="s">
        <v>132</v>
      </c>
      <c r="H263" s="4" t="s">
        <v>133</v>
      </c>
      <c r="I263" s="4"/>
      <c r="J263" s="4"/>
      <c r="K263" s="4">
        <v>233</v>
      </c>
      <c r="L263" s="4">
        <v>24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45" x14ac:dyDescent="0.2">
      <c r="A264" s="4">
        <v>50</v>
      </c>
      <c r="B264" s="4">
        <v>0</v>
      </c>
      <c r="C264" s="4">
        <v>0</v>
      </c>
      <c r="D264" s="4">
        <v>1</v>
      </c>
      <c r="E264" s="4">
        <v>210</v>
      </c>
      <c r="F264" s="4">
        <f>ROUND(Source!X238,O264)</f>
        <v>10832.41</v>
      </c>
      <c r="G264" s="4" t="s">
        <v>134</v>
      </c>
      <c r="H264" s="4" t="s">
        <v>135</v>
      </c>
      <c r="I264" s="4"/>
      <c r="J264" s="4"/>
      <c r="K264" s="4">
        <v>210</v>
      </c>
      <c r="L264" s="4">
        <v>25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211</v>
      </c>
      <c r="F265" s="4">
        <f>ROUND(Source!Y238,O265)</f>
        <v>1547.49</v>
      </c>
      <c r="G265" s="4" t="s">
        <v>136</v>
      </c>
      <c r="H265" s="4" t="s">
        <v>137</v>
      </c>
      <c r="I265" s="4"/>
      <c r="J265" s="4"/>
      <c r="K265" s="4">
        <v>211</v>
      </c>
      <c r="L265" s="4">
        <v>26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224</v>
      </c>
      <c r="F266" s="4">
        <f>ROUND(Source!AR238,O266)</f>
        <v>29062.25</v>
      </c>
      <c r="G266" s="4" t="s">
        <v>138</v>
      </c>
      <c r="H266" s="4" t="s">
        <v>139</v>
      </c>
      <c r="I266" s="4"/>
      <c r="J266" s="4"/>
      <c r="K266" s="4">
        <v>224</v>
      </c>
      <c r="L266" s="4">
        <v>27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8" spans="1:245" x14ac:dyDescent="0.2">
      <c r="A268" s="1">
        <v>5</v>
      </c>
      <c r="B268" s="1">
        <v>1</v>
      </c>
      <c r="C268" s="1"/>
      <c r="D268" s="1">
        <f>ROW(A279)</f>
        <v>279</v>
      </c>
      <c r="E268" s="1"/>
      <c r="F268" s="1" t="s">
        <v>14</v>
      </c>
      <c r="G268" s="1" t="s">
        <v>140</v>
      </c>
      <c r="H268" s="1" t="s">
        <v>3</v>
      </c>
      <c r="I268" s="1">
        <v>0</v>
      </c>
      <c r="J268" s="1"/>
      <c r="K268" s="1">
        <v>-1</v>
      </c>
      <c r="L268" s="1"/>
      <c r="M268" s="1" t="s">
        <v>3</v>
      </c>
      <c r="N268" s="1"/>
      <c r="O268" s="1"/>
      <c r="P268" s="1"/>
      <c r="Q268" s="1"/>
      <c r="R268" s="1"/>
      <c r="S268" s="1">
        <v>0</v>
      </c>
      <c r="T268" s="1"/>
      <c r="U268" s="1" t="s">
        <v>3</v>
      </c>
      <c r="V268" s="1">
        <v>0</v>
      </c>
      <c r="W268" s="1"/>
      <c r="X268" s="1"/>
      <c r="Y268" s="1"/>
      <c r="Z268" s="1"/>
      <c r="AA268" s="1"/>
      <c r="AB268" s="1" t="s">
        <v>3</v>
      </c>
      <c r="AC268" s="1" t="s">
        <v>3</v>
      </c>
      <c r="AD268" s="1" t="s">
        <v>3</v>
      </c>
      <c r="AE268" s="1" t="s">
        <v>3</v>
      </c>
      <c r="AF268" s="1" t="s">
        <v>3</v>
      </c>
      <c r="AG268" s="1" t="s">
        <v>3</v>
      </c>
      <c r="AH268" s="1"/>
      <c r="AI268" s="1"/>
      <c r="AJ268" s="1"/>
      <c r="AK268" s="1"/>
      <c r="AL268" s="1"/>
      <c r="AM268" s="1"/>
      <c r="AN268" s="1"/>
      <c r="AO268" s="1"/>
      <c r="AP268" s="1" t="s">
        <v>3</v>
      </c>
      <c r="AQ268" s="1" t="s">
        <v>3</v>
      </c>
      <c r="AR268" s="1" t="s">
        <v>3</v>
      </c>
      <c r="AS268" s="1"/>
      <c r="AT268" s="1"/>
      <c r="AU268" s="1"/>
      <c r="AV268" s="1"/>
      <c r="AW268" s="1"/>
      <c r="AX268" s="1"/>
      <c r="AY268" s="1"/>
      <c r="AZ268" s="1" t="s">
        <v>3</v>
      </c>
      <c r="BA268" s="1"/>
      <c r="BB268" s="1" t="s">
        <v>3</v>
      </c>
      <c r="BC268" s="1" t="s">
        <v>3</v>
      </c>
      <c r="BD268" s="1" t="s">
        <v>3</v>
      </c>
      <c r="BE268" s="1" t="s">
        <v>3</v>
      </c>
      <c r="BF268" s="1" t="s">
        <v>3</v>
      </c>
      <c r="BG268" s="1" t="s">
        <v>3</v>
      </c>
      <c r="BH268" s="1" t="s">
        <v>3</v>
      </c>
      <c r="BI268" s="1" t="s">
        <v>3</v>
      </c>
      <c r="BJ268" s="1" t="s">
        <v>3</v>
      </c>
      <c r="BK268" s="1" t="s">
        <v>3</v>
      </c>
      <c r="BL268" s="1" t="s">
        <v>3</v>
      </c>
      <c r="BM268" s="1" t="s">
        <v>3</v>
      </c>
      <c r="BN268" s="1" t="s">
        <v>3</v>
      </c>
      <c r="BO268" s="1" t="s">
        <v>3</v>
      </c>
      <c r="BP268" s="1" t="s">
        <v>3</v>
      </c>
      <c r="BQ268" s="1"/>
      <c r="BR268" s="1"/>
      <c r="BS268" s="1"/>
      <c r="BT268" s="1"/>
      <c r="BU268" s="1"/>
      <c r="BV268" s="1"/>
      <c r="BW268" s="1"/>
      <c r="BX268" s="1">
        <v>0</v>
      </c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>
        <v>0</v>
      </c>
    </row>
    <row r="270" spans="1:245" x14ac:dyDescent="0.2">
      <c r="A270" s="2">
        <v>52</v>
      </c>
      <c r="B270" s="2">
        <f t="shared" ref="B270:G270" si="209">B279</f>
        <v>1</v>
      </c>
      <c r="C270" s="2">
        <f t="shared" si="209"/>
        <v>5</v>
      </c>
      <c r="D270" s="2">
        <f t="shared" si="209"/>
        <v>268</v>
      </c>
      <c r="E270" s="2">
        <f t="shared" si="209"/>
        <v>0</v>
      </c>
      <c r="F270" s="2" t="str">
        <f t="shared" si="209"/>
        <v>Новый подраздел</v>
      </c>
      <c r="G270" s="2" t="str">
        <f t="shared" si="209"/>
        <v>Техническое помещение общее на модуль</v>
      </c>
      <c r="H270" s="2"/>
      <c r="I270" s="2"/>
      <c r="J270" s="2"/>
      <c r="K270" s="2"/>
      <c r="L270" s="2"/>
      <c r="M270" s="2"/>
      <c r="N270" s="2"/>
      <c r="O270" s="2">
        <f t="shared" ref="O270:AT270" si="210">O279</f>
        <v>57816.68</v>
      </c>
      <c r="P270" s="2">
        <f t="shared" si="210"/>
        <v>23530.400000000001</v>
      </c>
      <c r="Q270" s="2">
        <f t="shared" si="210"/>
        <v>7627.08</v>
      </c>
      <c r="R270" s="2">
        <f t="shared" si="210"/>
        <v>4773.28</v>
      </c>
      <c r="S270" s="2">
        <f t="shared" si="210"/>
        <v>26659.200000000001</v>
      </c>
      <c r="T270" s="2">
        <f t="shared" si="210"/>
        <v>0</v>
      </c>
      <c r="U270" s="2">
        <f t="shared" si="210"/>
        <v>41</v>
      </c>
      <c r="V270" s="2">
        <f t="shared" si="210"/>
        <v>0</v>
      </c>
      <c r="W270" s="2">
        <f t="shared" si="210"/>
        <v>0</v>
      </c>
      <c r="X270" s="2">
        <f t="shared" si="210"/>
        <v>18661.43</v>
      </c>
      <c r="Y270" s="2">
        <f t="shared" si="210"/>
        <v>2665.92</v>
      </c>
      <c r="Z270" s="2">
        <f t="shared" si="210"/>
        <v>0</v>
      </c>
      <c r="AA270" s="2">
        <f t="shared" si="210"/>
        <v>0</v>
      </c>
      <c r="AB270" s="2">
        <f t="shared" si="210"/>
        <v>57816.68</v>
      </c>
      <c r="AC270" s="2">
        <f t="shared" si="210"/>
        <v>23530.400000000001</v>
      </c>
      <c r="AD270" s="2">
        <f t="shared" si="210"/>
        <v>7627.08</v>
      </c>
      <c r="AE270" s="2">
        <f t="shared" si="210"/>
        <v>4773.28</v>
      </c>
      <c r="AF270" s="2">
        <f t="shared" si="210"/>
        <v>26659.200000000001</v>
      </c>
      <c r="AG270" s="2">
        <f t="shared" si="210"/>
        <v>0</v>
      </c>
      <c r="AH270" s="2">
        <f t="shared" si="210"/>
        <v>41</v>
      </c>
      <c r="AI270" s="2">
        <f t="shared" si="210"/>
        <v>0</v>
      </c>
      <c r="AJ270" s="2">
        <f t="shared" si="210"/>
        <v>0</v>
      </c>
      <c r="AK270" s="2">
        <f t="shared" si="210"/>
        <v>18661.43</v>
      </c>
      <c r="AL270" s="2">
        <f t="shared" si="210"/>
        <v>2665.92</v>
      </c>
      <c r="AM270" s="2">
        <f t="shared" si="210"/>
        <v>0</v>
      </c>
      <c r="AN270" s="2">
        <f t="shared" si="210"/>
        <v>0</v>
      </c>
      <c r="AO270" s="2">
        <f t="shared" si="210"/>
        <v>0</v>
      </c>
      <c r="AP270" s="2">
        <f t="shared" si="210"/>
        <v>0</v>
      </c>
      <c r="AQ270" s="2">
        <f t="shared" si="210"/>
        <v>0</v>
      </c>
      <c r="AR270" s="2">
        <f t="shared" si="210"/>
        <v>84299.17</v>
      </c>
      <c r="AS270" s="2">
        <f t="shared" si="210"/>
        <v>0</v>
      </c>
      <c r="AT270" s="2">
        <f t="shared" si="210"/>
        <v>0</v>
      </c>
      <c r="AU270" s="2">
        <f t="shared" ref="AU270:BZ270" si="211">AU279</f>
        <v>84299.17</v>
      </c>
      <c r="AV270" s="2">
        <f t="shared" si="211"/>
        <v>23530.400000000001</v>
      </c>
      <c r="AW270" s="2">
        <f t="shared" si="211"/>
        <v>23530.400000000001</v>
      </c>
      <c r="AX270" s="2">
        <f t="shared" si="211"/>
        <v>0</v>
      </c>
      <c r="AY270" s="2">
        <f t="shared" si="211"/>
        <v>23530.400000000001</v>
      </c>
      <c r="AZ270" s="2">
        <f t="shared" si="211"/>
        <v>0</v>
      </c>
      <c r="BA270" s="2">
        <f t="shared" si="211"/>
        <v>0</v>
      </c>
      <c r="BB270" s="2">
        <f t="shared" si="211"/>
        <v>0</v>
      </c>
      <c r="BC270" s="2">
        <f t="shared" si="211"/>
        <v>0</v>
      </c>
      <c r="BD270" s="2">
        <f t="shared" si="211"/>
        <v>0</v>
      </c>
      <c r="BE270" s="2">
        <f t="shared" si="211"/>
        <v>0</v>
      </c>
      <c r="BF270" s="2">
        <f t="shared" si="211"/>
        <v>0</v>
      </c>
      <c r="BG270" s="2">
        <f t="shared" si="211"/>
        <v>0</v>
      </c>
      <c r="BH270" s="2">
        <f t="shared" si="211"/>
        <v>0</v>
      </c>
      <c r="BI270" s="2">
        <f t="shared" si="211"/>
        <v>0</v>
      </c>
      <c r="BJ270" s="2">
        <f t="shared" si="211"/>
        <v>0</v>
      </c>
      <c r="BK270" s="2">
        <f t="shared" si="211"/>
        <v>0</v>
      </c>
      <c r="BL270" s="2">
        <f t="shared" si="211"/>
        <v>0</v>
      </c>
      <c r="BM270" s="2">
        <f t="shared" si="211"/>
        <v>0</v>
      </c>
      <c r="BN270" s="2">
        <f t="shared" si="211"/>
        <v>0</v>
      </c>
      <c r="BO270" s="2">
        <f t="shared" si="211"/>
        <v>0</v>
      </c>
      <c r="BP270" s="2">
        <f t="shared" si="211"/>
        <v>0</v>
      </c>
      <c r="BQ270" s="2">
        <f t="shared" si="211"/>
        <v>0</v>
      </c>
      <c r="BR270" s="2">
        <f t="shared" si="211"/>
        <v>0</v>
      </c>
      <c r="BS270" s="2">
        <f t="shared" si="211"/>
        <v>0</v>
      </c>
      <c r="BT270" s="2">
        <f t="shared" si="211"/>
        <v>0</v>
      </c>
      <c r="BU270" s="2">
        <f t="shared" si="211"/>
        <v>0</v>
      </c>
      <c r="BV270" s="2">
        <f t="shared" si="211"/>
        <v>0</v>
      </c>
      <c r="BW270" s="2">
        <f t="shared" si="211"/>
        <v>0</v>
      </c>
      <c r="BX270" s="2">
        <f t="shared" si="211"/>
        <v>0</v>
      </c>
      <c r="BY270" s="2">
        <f t="shared" si="211"/>
        <v>0</v>
      </c>
      <c r="BZ270" s="2">
        <f t="shared" si="211"/>
        <v>0</v>
      </c>
      <c r="CA270" s="2">
        <f t="shared" ref="CA270:DF270" si="212">CA279</f>
        <v>84299.17</v>
      </c>
      <c r="CB270" s="2">
        <f t="shared" si="212"/>
        <v>0</v>
      </c>
      <c r="CC270" s="2">
        <f t="shared" si="212"/>
        <v>0</v>
      </c>
      <c r="CD270" s="2">
        <f t="shared" si="212"/>
        <v>84299.17</v>
      </c>
      <c r="CE270" s="2">
        <f t="shared" si="212"/>
        <v>23530.400000000001</v>
      </c>
      <c r="CF270" s="2">
        <f t="shared" si="212"/>
        <v>23530.400000000001</v>
      </c>
      <c r="CG270" s="2">
        <f t="shared" si="212"/>
        <v>0</v>
      </c>
      <c r="CH270" s="2">
        <f t="shared" si="212"/>
        <v>23530.400000000001</v>
      </c>
      <c r="CI270" s="2">
        <f t="shared" si="212"/>
        <v>0</v>
      </c>
      <c r="CJ270" s="2">
        <f t="shared" si="212"/>
        <v>0</v>
      </c>
      <c r="CK270" s="2">
        <f t="shared" si="212"/>
        <v>0</v>
      </c>
      <c r="CL270" s="2">
        <f t="shared" si="212"/>
        <v>0</v>
      </c>
      <c r="CM270" s="2">
        <f t="shared" si="212"/>
        <v>0</v>
      </c>
      <c r="CN270" s="2">
        <f t="shared" si="212"/>
        <v>0</v>
      </c>
      <c r="CO270" s="2">
        <f t="shared" si="212"/>
        <v>0</v>
      </c>
      <c r="CP270" s="2">
        <f t="shared" si="212"/>
        <v>0</v>
      </c>
      <c r="CQ270" s="2">
        <f t="shared" si="212"/>
        <v>0</v>
      </c>
      <c r="CR270" s="2">
        <f t="shared" si="212"/>
        <v>0</v>
      </c>
      <c r="CS270" s="2">
        <f t="shared" si="212"/>
        <v>0</v>
      </c>
      <c r="CT270" s="2">
        <f t="shared" si="212"/>
        <v>0</v>
      </c>
      <c r="CU270" s="2">
        <f t="shared" si="212"/>
        <v>0</v>
      </c>
      <c r="CV270" s="2">
        <f t="shared" si="212"/>
        <v>0</v>
      </c>
      <c r="CW270" s="2">
        <f t="shared" si="212"/>
        <v>0</v>
      </c>
      <c r="CX270" s="2">
        <f t="shared" si="212"/>
        <v>0</v>
      </c>
      <c r="CY270" s="2">
        <f t="shared" si="212"/>
        <v>0</v>
      </c>
      <c r="CZ270" s="2">
        <f t="shared" si="212"/>
        <v>0</v>
      </c>
      <c r="DA270" s="2">
        <f t="shared" si="212"/>
        <v>0</v>
      </c>
      <c r="DB270" s="2">
        <f t="shared" si="212"/>
        <v>0</v>
      </c>
      <c r="DC270" s="2">
        <f t="shared" si="212"/>
        <v>0</v>
      </c>
      <c r="DD270" s="2">
        <f t="shared" si="212"/>
        <v>0</v>
      </c>
      <c r="DE270" s="2">
        <f t="shared" si="212"/>
        <v>0</v>
      </c>
      <c r="DF270" s="2">
        <f t="shared" si="212"/>
        <v>0</v>
      </c>
      <c r="DG270" s="3">
        <f t="shared" ref="DG270:EL270" si="213">DG279</f>
        <v>0</v>
      </c>
      <c r="DH270" s="3">
        <f t="shared" si="213"/>
        <v>0</v>
      </c>
      <c r="DI270" s="3">
        <f t="shared" si="213"/>
        <v>0</v>
      </c>
      <c r="DJ270" s="3">
        <f t="shared" si="213"/>
        <v>0</v>
      </c>
      <c r="DK270" s="3">
        <f t="shared" si="213"/>
        <v>0</v>
      </c>
      <c r="DL270" s="3">
        <f t="shared" si="213"/>
        <v>0</v>
      </c>
      <c r="DM270" s="3">
        <f t="shared" si="213"/>
        <v>0</v>
      </c>
      <c r="DN270" s="3">
        <f t="shared" si="213"/>
        <v>0</v>
      </c>
      <c r="DO270" s="3">
        <f t="shared" si="213"/>
        <v>0</v>
      </c>
      <c r="DP270" s="3">
        <f t="shared" si="213"/>
        <v>0</v>
      </c>
      <c r="DQ270" s="3">
        <f t="shared" si="213"/>
        <v>0</v>
      </c>
      <c r="DR270" s="3">
        <f t="shared" si="213"/>
        <v>0</v>
      </c>
      <c r="DS270" s="3">
        <f t="shared" si="213"/>
        <v>0</v>
      </c>
      <c r="DT270" s="3">
        <f t="shared" si="213"/>
        <v>0</v>
      </c>
      <c r="DU270" s="3">
        <f t="shared" si="213"/>
        <v>0</v>
      </c>
      <c r="DV270" s="3">
        <f t="shared" si="213"/>
        <v>0</v>
      </c>
      <c r="DW270" s="3">
        <f t="shared" si="213"/>
        <v>0</v>
      </c>
      <c r="DX270" s="3">
        <f t="shared" si="213"/>
        <v>0</v>
      </c>
      <c r="DY270" s="3">
        <f t="shared" si="213"/>
        <v>0</v>
      </c>
      <c r="DZ270" s="3">
        <f t="shared" si="213"/>
        <v>0</v>
      </c>
      <c r="EA270" s="3">
        <f t="shared" si="213"/>
        <v>0</v>
      </c>
      <c r="EB270" s="3">
        <f t="shared" si="213"/>
        <v>0</v>
      </c>
      <c r="EC270" s="3">
        <f t="shared" si="213"/>
        <v>0</v>
      </c>
      <c r="ED270" s="3">
        <f t="shared" si="213"/>
        <v>0</v>
      </c>
      <c r="EE270" s="3">
        <f t="shared" si="213"/>
        <v>0</v>
      </c>
      <c r="EF270" s="3">
        <f t="shared" si="213"/>
        <v>0</v>
      </c>
      <c r="EG270" s="3">
        <f t="shared" si="213"/>
        <v>0</v>
      </c>
      <c r="EH270" s="3">
        <f t="shared" si="213"/>
        <v>0</v>
      </c>
      <c r="EI270" s="3">
        <f t="shared" si="213"/>
        <v>0</v>
      </c>
      <c r="EJ270" s="3">
        <f t="shared" si="213"/>
        <v>0</v>
      </c>
      <c r="EK270" s="3">
        <f t="shared" si="213"/>
        <v>0</v>
      </c>
      <c r="EL270" s="3">
        <f t="shared" si="213"/>
        <v>0</v>
      </c>
      <c r="EM270" s="3">
        <f t="shared" ref="EM270:FR270" si="214">EM279</f>
        <v>0</v>
      </c>
      <c r="EN270" s="3">
        <f t="shared" si="214"/>
        <v>0</v>
      </c>
      <c r="EO270" s="3">
        <f t="shared" si="214"/>
        <v>0</v>
      </c>
      <c r="EP270" s="3">
        <f t="shared" si="214"/>
        <v>0</v>
      </c>
      <c r="EQ270" s="3">
        <f t="shared" si="214"/>
        <v>0</v>
      </c>
      <c r="ER270" s="3">
        <f t="shared" si="214"/>
        <v>0</v>
      </c>
      <c r="ES270" s="3">
        <f t="shared" si="214"/>
        <v>0</v>
      </c>
      <c r="ET270" s="3">
        <f t="shared" si="214"/>
        <v>0</v>
      </c>
      <c r="EU270" s="3">
        <f t="shared" si="214"/>
        <v>0</v>
      </c>
      <c r="EV270" s="3">
        <f t="shared" si="214"/>
        <v>0</v>
      </c>
      <c r="EW270" s="3">
        <f t="shared" si="214"/>
        <v>0</v>
      </c>
      <c r="EX270" s="3">
        <f t="shared" si="214"/>
        <v>0</v>
      </c>
      <c r="EY270" s="3">
        <f t="shared" si="214"/>
        <v>0</v>
      </c>
      <c r="EZ270" s="3">
        <f t="shared" si="214"/>
        <v>0</v>
      </c>
      <c r="FA270" s="3">
        <f t="shared" si="214"/>
        <v>0</v>
      </c>
      <c r="FB270" s="3">
        <f t="shared" si="214"/>
        <v>0</v>
      </c>
      <c r="FC270" s="3">
        <f t="shared" si="214"/>
        <v>0</v>
      </c>
      <c r="FD270" s="3">
        <f t="shared" si="214"/>
        <v>0</v>
      </c>
      <c r="FE270" s="3">
        <f t="shared" si="214"/>
        <v>0</v>
      </c>
      <c r="FF270" s="3">
        <f t="shared" si="214"/>
        <v>0</v>
      </c>
      <c r="FG270" s="3">
        <f t="shared" si="214"/>
        <v>0</v>
      </c>
      <c r="FH270" s="3">
        <f t="shared" si="214"/>
        <v>0</v>
      </c>
      <c r="FI270" s="3">
        <f t="shared" si="214"/>
        <v>0</v>
      </c>
      <c r="FJ270" s="3">
        <f t="shared" si="214"/>
        <v>0</v>
      </c>
      <c r="FK270" s="3">
        <f t="shared" si="214"/>
        <v>0</v>
      </c>
      <c r="FL270" s="3">
        <f t="shared" si="214"/>
        <v>0</v>
      </c>
      <c r="FM270" s="3">
        <f t="shared" si="214"/>
        <v>0</v>
      </c>
      <c r="FN270" s="3">
        <f t="shared" si="214"/>
        <v>0</v>
      </c>
      <c r="FO270" s="3">
        <f t="shared" si="214"/>
        <v>0</v>
      </c>
      <c r="FP270" s="3">
        <f t="shared" si="214"/>
        <v>0</v>
      </c>
      <c r="FQ270" s="3">
        <f t="shared" si="214"/>
        <v>0</v>
      </c>
      <c r="FR270" s="3">
        <f t="shared" si="214"/>
        <v>0</v>
      </c>
      <c r="FS270" s="3">
        <f t="shared" ref="FS270:GX270" si="215">FS279</f>
        <v>0</v>
      </c>
      <c r="FT270" s="3">
        <f t="shared" si="215"/>
        <v>0</v>
      </c>
      <c r="FU270" s="3">
        <f t="shared" si="215"/>
        <v>0</v>
      </c>
      <c r="FV270" s="3">
        <f t="shared" si="215"/>
        <v>0</v>
      </c>
      <c r="FW270" s="3">
        <f t="shared" si="215"/>
        <v>0</v>
      </c>
      <c r="FX270" s="3">
        <f t="shared" si="215"/>
        <v>0</v>
      </c>
      <c r="FY270" s="3">
        <f t="shared" si="215"/>
        <v>0</v>
      </c>
      <c r="FZ270" s="3">
        <f t="shared" si="215"/>
        <v>0</v>
      </c>
      <c r="GA270" s="3">
        <f t="shared" si="215"/>
        <v>0</v>
      </c>
      <c r="GB270" s="3">
        <f t="shared" si="215"/>
        <v>0</v>
      </c>
      <c r="GC270" s="3">
        <f t="shared" si="215"/>
        <v>0</v>
      </c>
      <c r="GD270" s="3">
        <f t="shared" si="215"/>
        <v>0</v>
      </c>
      <c r="GE270" s="3">
        <f t="shared" si="215"/>
        <v>0</v>
      </c>
      <c r="GF270" s="3">
        <f t="shared" si="215"/>
        <v>0</v>
      </c>
      <c r="GG270" s="3">
        <f t="shared" si="215"/>
        <v>0</v>
      </c>
      <c r="GH270" s="3">
        <f t="shared" si="215"/>
        <v>0</v>
      </c>
      <c r="GI270" s="3">
        <f t="shared" si="215"/>
        <v>0</v>
      </c>
      <c r="GJ270" s="3">
        <f t="shared" si="215"/>
        <v>0</v>
      </c>
      <c r="GK270" s="3">
        <f t="shared" si="215"/>
        <v>0</v>
      </c>
      <c r="GL270" s="3">
        <f t="shared" si="215"/>
        <v>0</v>
      </c>
      <c r="GM270" s="3">
        <f t="shared" si="215"/>
        <v>0</v>
      </c>
      <c r="GN270" s="3">
        <f t="shared" si="215"/>
        <v>0</v>
      </c>
      <c r="GO270" s="3">
        <f t="shared" si="215"/>
        <v>0</v>
      </c>
      <c r="GP270" s="3">
        <f t="shared" si="215"/>
        <v>0</v>
      </c>
      <c r="GQ270" s="3">
        <f t="shared" si="215"/>
        <v>0</v>
      </c>
      <c r="GR270" s="3">
        <f t="shared" si="215"/>
        <v>0</v>
      </c>
      <c r="GS270" s="3">
        <f t="shared" si="215"/>
        <v>0</v>
      </c>
      <c r="GT270" s="3">
        <f t="shared" si="215"/>
        <v>0</v>
      </c>
      <c r="GU270" s="3">
        <f t="shared" si="215"/>
        <v>0</v>
      </c>
      <c r="GV270" s="3">
        <f t="shared" si="215"/>
        <v>0</v>
      </c>
      <c r="GW270" s="3">
        <f t="shared" si="215"/>
        <v>0</v>
      </c>
      <c r="GX270" s="3">
        <f t="shared" si="215"/>
        <v>0</v>
      </c>
    </row>
    <row r="272" spans="1:245" x14ac:dyDescent="0.2">
      <c r="A272">
        <v>17</v>
      </c>
      <c r="B272">
        <v>1</v>
      </c>
      <c r="D272">
        <f>ROW(EtalonRes!A146)</f>
        <v>146</v>
      </c>
      <c r="E272" t="s">
        <v>255</v>
      </c>
      <c r="F272" t="s">
        <v>142</v>
      </c>
      <c r="G272" t="s">
        <v>143</v>
      </c>
      <c r="H272" t="s">
        <v>39</v>
      </c>
      <c r="I272">
        <f>ROUND(1*4,9)</f>
        <v>4</v>
      </c>
      <c r="J272">
        <v>0</v>
      </c>
      <c r="K272">
        <f>ROUND(1*4,9)</f>
        <v>4</v>
      </c>
      <c r="O272">
        <f t="shared" ref="O272:O277" si="216">ROUND(CP272,2)</f>
        <v>10623.28</v>
      </c>
      <c r="P272">
        <f t="shared" ref="P272:P277" si="217">ROUND(CQ272*I272,2)</f>
        <v>2.52</v>
      </c>
      <c r="Q272">
        <f t="shared" ref="Q272:Q277" si="218">ROUND(CR272*I272,2)</f>
        <v>5644.64</v>
      </c>
      <c r="R272">
        <f t="shared" ref="R272:R277" si="219">ROUND(CS272*I272,2)</f>
        <v>3579.08</v>
      </c>
      <c r="S272">
        <f t="shared" ref="S272:S277" si="220">ROUND(CT272*I272,2)</f>
        <v>4976.12</v>
      </c>
      <c r="T272">
        <f t="shared" ref="T272:T277" si="221">ROUND(CU272*I272,2)</f>
        <v>0</v>
      </c>
      <c r="U272">
        <f t="shared" ref="U272:U277" si="222">CV272*I272</f>
        <v>7</v>
      </c>
      <c r="V272">
        <f t="shared" ref="V272:V277" si="223">CW272*I272</f>
        <v>0</v>
      </c>
      <c r="W272">
        <f t="shared" ref="W272:W277" si="224">ROUND(CX272*I272,2)</f>
        <v>0</v>
      </c>
      <c r="X272">
        <f t="shared" ref="X272:Y277" si="225">ROUND(CY272,2)</f>
        <v>3483.28</v>
      </c>
      <c r="Y272">
        <f t="shared" si="225"/>
        <v>497.61</v>
      </c>
      <c r="AA272">
        <v>1471531721</v>
      </c>
      <c r="AB272">
        <f t="shared" ref="AB272:AB277" si="226">ROUND((AC272+AD272+AF272),6)</f>
        <v>2655.82</v>
      </c>
      <c r="AC272">
        <f>ROUND((ES272),6)</f>
        <v>0.63</v>
      </c>
      <c r="AD272">
        <f t="shared" ref="AD272:AD277" si="227">ROUND((((ET272)-(EU272))+AE272),6)</f>
        <v>1411.16</v>
      </c>
      <c r="AE272">
        <f>ROUND((EU272),6)</f>
        <v>894.77</v>
      </c>
      <c r="AF272">
        <f>ROUND((EV272),6)</f>
        <v>1244.03</v>
      </c>
      <c r="AG272">
        <f t="shared" ref="AG272:AG277" si="228">ROUND((AP272),6)</f>
        <v>0</v>
      </c>
      <c r="AH272">
        <f>(EW272)</f>
        <v>1.75</v>
      </c>
      <c r="AI272">
        <f>(EX272)</f>
        <v>0</v>
      </c>
      <c r="AJ272">
        <f t="shared" ref="AJ272:AJ277" si="229">(AS272)</f>
        <v>0</v>
      </c>
      <c r="AK272">
        <v>2655.82</v>
      </c>
      <c r="AL272">
        <v>0.63</v>
      </c>
      <c r="AM272">
        <v>1411.16</v>
      </c>
      <c r="AN272">
        <v>894.77</v>
      </c>
      <c r="AO272">
        <v>1244.03</v>
      </c>
      <c r="AP272">
        <v>0</v>
      </c>
      <c r="AQ272">
        <v>1.75</v>
      </c>
      <c r="AR272">
        <v>0</v>
      </c>
      <c r="AS272">
        <v>0</v>
      </c>
      <c r="AT272">
        <v>70</v>
      </c>
      <c r="AU272">
        <v>10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144</v>
      </c>
      <c r="BM272">
        <v>0</v>
      </c>
      <c r="BN272">
        <v>0</v>
      </c>
      <c r="BO272" t="s">
        <v>3</v>
      </c>
      <c r="BP272">
        <v>0</v>
      </c>
      <c r="BQ272">
        <v>1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70</v>
      </c>
      <c r="CA272">
        <v>10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ref="CP272:CP277" si="230">(P272+Q272+S272)</f>
        <v>10623.28</v>
      </c>
      <c r="CQ272">
        <f t="shared" ref="CQ272:CQ277" si="231">(AC272*BC272*AW272)</f>
        <v>0.63</v>
      </c>
      <c r="CR272">
        <f t="shared" ref="CR272:CR277" si="232">((((ET272)*BB272-(EU272)*BS272)+AE272*BS272)*AV272)</f>
        <v>1411.16</v>
      </c>
      <c r="CS272">
        <f t="shared" ref="CS272:CS277" si="233">(AE272*BS272*AV272)</f>
        <v>894.77</v>
      </c>
      <c r="CT272">
        <f t="shared" ref="CT272:CT277" si="234">(AF272*BA272*AV272)</f>
        <v>1244.03</v>
      </c>
      <c r="CU272">
        <f t="shared" ref="CU272:CU277" si="235">AG272</f>
        <v>0</v>
      </c>
      <c r="CV272">
        <f t="shared" ref="CV272:CV277" si="236">(AH272*AV272)</f>
        <v>1.75</v>
      </c>
      <c r="CW272">
        <f t="shared" ref="CW272:CX277" si="237">AI272</f>
        <v>0</v>
      </c>
      <c r="CX272">
        <f t="shared" si="237"/>
        <v>0</v>
      </c>
      <c r="CY272">
        <f t="shared" ref="CY272:CY277" si="238">((S272*BZ272)/100)</f>
        <v>3483.2839999999997</v>
      </c>
      <c r="CZ272">
        <f t="shared" ref="CZ272:CZ277" si="239">((S272*CA272)/100)</f>
        <v>497.61199999999997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16987630</v>
      </c>
      <c r="DV272" t="s">
        <v>39</v>
      </c>
      <c r="DW272" t="s">
        <v>39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1441815344</v>
      </c>
      <c r="EF272">
        <v>1</v>
      </c>
      <c r="EG272" t="s">
        <v>21</v>
      </c>
      <c r="EH272">
        <v>0</v>
      </c>
      <c r="EI272" t="s">
        <v>3</v>
      </c>
      <c r="EJ272">
        <v>4</v>
      </c>
      <c r="EK272">
        <v>0</v>
      </c>
      <c r="EL272" t="s">
        <v>22</v>
      </c>
      <c r="EM272" t="s">
        <v>23</v>
      </c>
      <c r="EO272" t="s">
        <v>3</v>
      </c>
      <c r="EQ272">
        <v>0</v>
      </c>
      <c r="ER272">
        <v>2655.82</v>
      </c>
      <c r="ES272">
        <v>0.63</v>
      </c>
      <c r="ET272">
        <v>1411.16</v>
      </c>
      <c r="EU272">
        <v>894.77</v>
      </c>
      <c r="EV272">
        <v>1244.03</v>
      </c>
      <c r="EW272">
        <v>1.75</v>
      </c>
      <c r="EX272">
        <v>0</v>
      </c>
      <c r="EY272">
        <v>0</v>
      </c>
      <c r="FQ272">
        <v>0</v>
      </c>
      <c r="FR272">
        <f t="shared" ref="FR272:FR277" si="240">ROUND(IF(BI272=3,GM272,0),2)</f>
        <v>0</v>
      </c>
      <c r="FS272">
        <v>0</v>
      </c>
      <c r="FX272">
        <v>70</v>
      </c>
      <c r="FY272">
        <v>10</v>
      </c>
      <c r="GA272" t="s">
        <v>3</v>
      </c>
      <c r="GD272">
        <v>0</v>
      </c>
      <c r="GF272">
        <v>-1602766855</v>
      </c>
      <c r="GG272">
        <v>2</v>
      </c>
      <c r="GH272">
        <v>1</v>
      </c>
      <c r="GI272">
        <v>-2</v>
      </c>
      <c r="GJ272">
        <v>0</v>
      </c>
      <c r="GK272">
        <f>ROUND(R272*(R12)/100,2)</f>
        <v>3865.41</v>
      </c>
      <c r="GL272">
        <f t="shared" ref="GL272:GL277" si="241">ROUND(IF(AND(BH272=3,BI272=3,FS272&lt;&gt;0),P272,0),2)</f>
        <v>0</v>
      </c>
      <c r="GM272">
        <f t="shared" ref="GM272:GM277" si="242">ROUND(O272+X272+Y272+GK272,2)+GX272</f>
        <v>18469.580000000002</v>
      </c>
      <c r="GN272">
        <f t="shared" ref="GN272:GN277" si="243">IF(OR(BI272=0,BI272=1),GM272-GX272,0)</f>
        <v>0</v>
      </c>
      <c r="GO272">
        <f t="shared" ref="GO272:GO277" si="244">IF(BI272=2,GM272-GX272,0)</f>
        <v>0</v>
      </c>
      <c r="GP272">
        <f t="shared" ref="GP272:GP277" si="245">IF(BI272=4,GM272-GX272,0)</f>
        <v>18469.580000000002</v>
      </c>
      <c r="GR272">
        <v>0</v>
      </c>
      <c r="GS272">
        <v>3</v>
      </c>
      <c r="GT272">
        <v>0</v>
      </c>
      <c r="GU272" t="s">
        <v>3</v>
      </c>
      <c r="GV272">
        <f t="shared" ref="GV272:GV277" si="246">ROUND((GT272),6)</f>
        <v>0</v>
      </c>
      <c r="GW272">
        <v>1</v>
      </c>
      <c r="GX272">
        <f t="shared" ref="GX272:GX277" si="247">ROUND(HC272*I272,2)</f>
        <v>0</v>
      </c>
      <c r="HA272">
        <v>0</v>
      </c>
      <c r="HB272">
        <v>0</v>
      </c>
      <c r="HC272">
        <f t="shared" ref="HC272:HC277" si="248">GV272*GW272</f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1</v>
      </c>
      <c r="D273">
        <f>ROW(EtalonRes!A151)</f>
        <v>151</v>
      </c>
      <c r="E273" t="s">
        <v>256</v>
      </c>
      <c r="F273" t="s">
        <v>146</v>
      </c>
      <c r="G273" t="s">
        <v>147</v>
      </c>
      <c r="H273" t="s">
        <v>39</v>
      </c>
      <c r="I273">
        <f>ROUND(1*4,9)</f>
        <v>4</v>
      </c>
      <c r="J273">
        <v>0</v>
      </c>
      <c r="K273">
        <f>ROUND(1*4,9)</f>
        <v>4</v>
      </c>
      <c r="O273">
        <f t="shared" si="216"/>
        <v>38890</v>
      </c>
      <c r="P273">
        <f t="shared" si="217"/>
        <v>23525.360000000001</v>
      </c>
      <c r="Q273">
        <f t="shared" si="218"/>
        <v>106.12</v>
      </c>
      <c r="R273">
        <f t="shared" si="219"/>
        <v>4.5199999999999996</v>
      </c>
      <c r="S273">
        <f t="shared" si="220"/>
        <v>15258.52</v>
      </c>
      <c r="T273">
        <f t="shared" si="221"/>
        <v>0</v>
      </c>
      <c r="U273">
        <f t="shared" si="222"/>
        <v>22.8</v>
      </c>
      <c r="V273">
        <f t="shared" si="223"/>
        <v>0</v>
      </c>
      <c r="W273">
        <f t="shared" si="224"/>
        <v>0</v>
      </c>
      <c r="X273">
        <f t="shared" si="225"/>
        <v>10680.96</v>
      </c>
      <c r="Y273">
        <f t="shared" si="225"/>
        <v>1525.85</v>
      </c>
      <c r="AA273">
        <v>1471531721</v>
      </c>
      <c r="AB273">
        <f t="shared" si="226"/>
        <v>9722.5</v>
      </c>
      <c r="AC273">
        <f>ROUND((ES273),6)</f>
        <v>5881.34</v>
      </c>
      <c r="AD273">
        <f t="shared" si="227"/>
        <v>26.53</v>
      </c>
      <c r="AE273">
        <f>ROUND((EU273),6)</f>
        <v>1.1299999999999999</v>
      </c>
      <c r="AF273">
        <f>ROUND((EV273),6)</f>
        <v>3814.63</v>
      </c>
      <c r="AG273">
        <f t="shared" si="228"/>
        <v>0</v>
      </c>
      <c r="AH273">
        <f>(EW273)</f>
        <v>5.7</v>
      </c>
      <c r="AI273">
        <f>(EX273)</f>
        <v>0</v>
      </c>
      <c r="AJ273">
        <f t="shared" si="229"/>
        <v>0</v>
      </c>
      <c r="AK273">
        <v>9722.5</v>
      </c>
      <c r="AL273">
        <v>5881.34</v>
      </c>
      <c r="AM273">
        <v>26.53</v>
      </c>
      <c r="AN273">
        <v>1.1299999999999999</v>
      </c>
      <c r="AO273">
        <v>3814.63</v>
      </c>
      <c r="AP273">
        <v>0</v>
      </c>
      <c r="AQ273">
        <v>5.7</v>
      </c>
      <c r="AR273">
        <v>0</v>
      </c>
      <c r="AS273">
        <v>0</v>
      </c>
      <c r="AT273">
        <v>70</v>
      </c>
      <c r="AU273">
        <v>10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148</v>
      </c>
      <c r="BM273">
        <v>0</v>
      </c>
      <c r="BN273">
        <v>0</v>
      </c>
      <c r="BO273" t="s">
        <v>3</v>
      </c>
      <c r="BP273">
        <v>0</v>
      </c>
      <c r="BQ273">
        <v>1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10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230"/>
        <v>38890</v>
      </c>
      <c r="CQ273">
        <f t="shared" si="231"/>
        <v>5881.34</v>
      </c>
      <c r="CR273">
        <f t="shared" si="232"/>
        <v>26.53</v>
      </c>
      <c r="CS273">
        <f t="shared" si="233"/>
        <v>1.1299999999999999</v>
      </c>
      <c r="CT273">
        <f t="shared" si="234"/>
        <v>3814.63</v>
      </c>
      <c r="CU273">
        <f t="shared" si="235"/>
        <v>0</v>
      </c>
      <c r="CV273">
        <f t="shared" si="236"/>
        <v>5.7</v>
      </c>
      <c r="CW273">
        <f t="shared" si="237"/>
        <v>0</v>
      </c>
      <c r="CX273">
        <f t="shared" si="237"/>
        <v>0</v>
      </c>
      <c r="CY273">
        <f t="shared" si="238"/>
        <v>10680.964000000002</v>
      </c>
      <c r="CZ273">
        <f t="shared" si="239"/>
        <v>1525.8520000000001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16987630</v>
      </c>
      <c r="DV273" t="s">
        <v>39</v>
      </c>
      <c r="DW273" t="s">
        <v>39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1441815344</v>
      </c>
      <c r="EF273">
        <v>1</v>
      </c>
      <c r="EG273" t="s">
        <v>21</v>
      </c>
      <c r="EH273">
        <v>0</v>
      </c>
      <c r="EI273" t="s">
        <v>3</v>
      </c>
      <c r="EJ273">
        <v>4</v>
      </c>
      <c r="EK273">
        <v>0</v>
      </c>
      <c r="EL273" t="s">
        <v>22</v>
      </c>
      <c r="EM273" t="s">
        <v>23</v>
      </c>
      <c r="EO273" t="s">
        <v>3</v>
      </c>
      <c r="EQ273">
        <v>0</v>
      </c>
      <c r="ER273">
        <v>9722.5</v>
      </c>
      <c r="ES273">
        <v>5881.34</v>
      </c>
      <c r="ET273">
        <v>26.53</v>
      </c>
      <c r="EU273">
        <v>1.1299999999999999</v>
      </c>
      <c r="EV273">
        <v>3814.63</v>
      </c>
      <c r="EW273">
        <v>5.7</v>
      </c>
      <c r="EX273">
        <v>0</v>
      </c>
      <c r="EY273">
        <v>0</v>
      </c>
      <c r="FQ273">
        <v>0</v>
      </c>
      <c r="FR273">
        <f t="shared" si="240"/>
        <v>0</v>
      </c>
      <c r="FS273">
        <v>0</v>
      </c>
      <c r="FX273">
        <v>70</v>
      </c>
      <c r="FY273">
        <v>10</v>
      </c>
      <c r="GA273" t="s">
        <v>3</v>
      </c>
      <c r="GD273">
        <v>0</v>
      </c>
      <c r="GF273">
        <v>-929184264</v>
      </c>
      <c r="GG273">
        <v>2</v>
      </c>
      <c r="GH273">
        <v>1</v>
      </c>
      <c r="GI273">
        <v>-2</v>
      </c>
      <c r="GJ273">
        <v>0</v>
      </c>
      <c r="GK273">
        <f>ROUND(R273*(R12)/100,2)</f>
        <v>4.88</v>
      </c>
      <c r="GL273">
        <f t="shared" si="241"/>
        <v>0</v>
      </c>
      <c r="GM273">
        <f t="shared" si="242"/>
        <v>51101.69</v>
      </c>
      <c r="GN273">
        <f t="shared" si="243"/>
        <v>0</v>
      </c>
      <c r="GO273">
        <f t="shared" si="244"/>
        <v>0</v>
      </c>
      <c r="GP273">
        <f t="shared" si="245"/>
        <v>51101.69</v>
      </c>
      <c r="GR273">
        <v>0</v>
      </c>
      <c r="GS273">
        <v>3</v>
      </c>
      <c r="GT273">
        <v>0</v>
      </c>
      <c r="GU273" t="s">
        <v>3</v>
      </c>
      <c r="GV273">
        <f t="shared" si="246"/>
        <v>0</v>
      </c>
      <c r="GW273">
        <v>1</v>
      </c>
      <c r="GX273">
        <f t="shared" si="247"/>
        <v>0</v>
      </c>
      <c r="HA273">
        <v>0</v>
      </c>
      <c r="HB273">
        <v>0</v>
      </c>
      <c r="HC273">
        <f t="shared" si="248"/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1</v>
      </c>
      <c r="D274">
        <f>ROW(EtalonRes!A156)</f>
        <v>156</v>
      </c>
      <c r="E274" t="s">
        <v>3</v>
      </c>
      <c r="F274" t="s">
        <v>157</v>
      </c>
      <c r="G274" t="s">
        <v>158</v>
      </c>
      <c r="H274" t="s">
        <v>39</v>
      </c>
      <c r="I274">
        <v>13</v>
      </c>
      <c r="J274">
        <v>0</v>
      </c>
      <c r="K274">
        <v>13</v>
      </c>
      <c r="O274">
        <f t="shared" si="216"/>
        <v>578852.04</v>
      </c>
      <c r="P274">
        <f t="shared" si="217"/>
        <v>228057.96</v>
      </c>
      <c r="Q274">
        <f t="shared" si="218"/>
        <v>0</v>
      </c>
      <c r="R274">
        <f t="shared" si="219"/>
        <v>0</v>
      </c>
      <c r="S274">
        <f t="shared" si="220"/>
        <v>350794.08</v>
      </c>
      <c r="T274">
        <f t="shared" si="221"/>
        <v>0</v>
      </c>
      <c r="U274">
        <f t="shared" si="222"/>
        <v>624</v>
      </c>
      <c r="V274">
        <f t="shared" si="223"/>
        <v>0</v>
      </c>
      <c r="W274">
        <f t="shared" si="224"/>
        <v>0</v>
      </c>
      <c r="X274">
        <f t="shared" si="225"/>
        <v>245555.86</v>
      </c>
      <c r="Y274">
        <f t="shared" si="225"/>
        <v>35079.410000000003</v>
      </c>
      <c r="AA274">
        <v>-1</v>
      </c>
      <c r="AB274">
        <f t="shared" si="226"/>
        <v>44527.08</v>
      </c>
      <c r="AC274">
        <f>ROUND(((ES274*3)),6)</f>
        <v>17542.919999999998</v>
      </c>
      <c r="AD274">
        <f t="shared" si="227"/>
        <v>0</v>
      </c>
      <c r="AE274">
        <f>ROUND((EU274),6)</f>
        <v>0</v>
      </c>
      <c r="AF274">
        <f>ROUND(((EV274*3)),6)</f>
        <v>26984.16</v>
      </c>
      <c r="AG274">
        <f t="shared" si="228"/>
        <v>0</v>
      </c>
      <c r="AH274">
        <f>((EW274*3))</f>
        <v>48</v>
      </c>
      <c r="AI274">
        <f>(EX274)</f>
        <v>0</v>
      </c>
      <c r="AJ274">
        <f t="shared" si="229"/>
        <v>0</v>
      </c>
      <c r="AK274">
        <v>14842.36</v>
      </c>
      <c r="AL274">
        <v>5847.64</v>
      </c>
      <c r="AM274">
        <v>0</v>
      </c>
      <c r="AN274">
        <v>0</v>
      </c>
      <c r="AO274">
        <v>8994.7199999999993</v>
      </c>
      <c r="AP274">
        <v>0</v>
      </c>
      <c r="AQ274">
        <v>16</v>
      </c>
      <c r="AR274">
        <v>0</v>
      </c>
      <c r="AS274">
        <v>0</v>
      </c>
      <c r="AT274">
        <v>70</v>
      </c>
      <c r="AU274">
        <v>10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159</v>
      </c>
      <c r="BM274">
        <v>0</v>
      </c>
      <c r="BN274">
        <v>0</v>
      </c>
      <c r="BO274" t="s">
        <v>3</v>
      </c>
      <c r="BP274">
        <v>0</v>
      </c>
      <c r="BQ274">
        <v>1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10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230"/>
        <v>578852.04</v>
      </c>
      <c r="CQ274">
        <f t="shared" si="231"/>
        <v>17542.919999999998</v>
      </c>
      <c r="CR274">
        <f t="shared" si="232"/>
        <v>0</v>
      </c>
      <c r="CS274">
        <f t="shared" si="233"/>
        <v>0</v>
      </c>
      <c r="CT274">
        <f t="shared" si="234"/>
        <v>26984.16</v>
      </c>
      <c r="CU274">
        <f t="shared" si="235"/>
        <v>0</v>
      </c>
      <c r="CV274">
        <f t="shared" si="236"/>
        <v>48</v>
      </c>
      <c r="CW274">
        <f t="shared" si="237"/>
        <v>0</v>
      </c>
      <c r="CX274">
        <f t="shared" si="237"/>
        <v>0</v>
      </c>
      <c r="CY274">
        <f t="shared" si="238"/>
        <v>245555.85600000003</v>
      </c>
      <c r="CZ274">
        <f t="shared" si="239"/>
        <v>35079.408000000003</v>
      </c>
      <c r="DC274" t="s">
        <v>3</v>
      </c>
      <c r="DD274" t="s">
        <v>156</v>
      </c>
      <c r="DE274" t="s">
        <v>3</v>
      </c>
      <c r="DF274" t="s">
        <v>3</v>
      </c>
      <c r="DG274" t="s">
        <v>156</v>
      </c>
      <c r="DH274" t="s">
        <v>3</v>
      </c>
      <c r="DI274" t="s">
        <v>156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16987630</v>
      </c>
      <c r="DV274" t="s">
        <v>39</v>
      </c>
      <c r="DW274" t="s">
        <v>39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1441815344</v>
      </c>
      <c r="EF274">
        <v>1</v>
      </c>
      <c r="EG274" t="s">
        <v>21</v>
      </c>
      <c r="EH274">
        <v>0</v>
      </c>
      <c r="EI274" t="s">
        <v>3</v>
      </c>
      <c r="EJ274">
        <v>4</v>
      </c>
      <c r="EK274">
        <v>0</v>
      </c>
      <c r="EL274" t="s">
        <v>22</v>
      </c>
      <c r="EM274" t="s">
        <v>23</v>
      </c>
      <c r="EO274" t="s">
        <v>3</v>
      </c>
      <c r="EQ274">
        <v>1024</v>
      </c>
      <c r="ER274">
        <v>14842.36</v>
      </c>
      <c r="ES274">
        <v>5847.64</v>
      </c>
      <c r="ET274">
        <v>0</v>
      </c>
      <c r="EU274">
        <v>0</v>
      </c>
      <c r="EV274">
        <v>8994.7199999999993</v>
      </c>
      <c r="EW274">
        <v>16</v>
      </c>
      <c r="EX274">
        <v>0</v>
      </c>
      <c r="EY274">
        <v>0</v>
      </c>
      <c r="FQ274">
        <v>0</v>
      </c>
      <c r="FR274">
        <f t="shared" si="240"/>
        <v>0</v>
      </c>
      <c r="FS274">
        <v>0</v>
      </c>
      <c r="FX274">
        <v>70</v>
      </c>
      <c r="FY274">
        <v>10</v>
      </c>
      <c r="GA274" t="s">
        <v>3</v>
      </c>
      <c r="GD274">
        <v>0</v>
      </c>
      <c r="GF274">
        <v>-593076646</v>
      </c>
      <c r="GG274">
        <v>2</v>
      </c>
      <c r="GH274">
        <v>1</v>
      </c>
      <c r="GI274">
        <v>-2</v>
      </c>
      <c r="GJ274">
        <v>0</v>
      </c>
      <c r="GK274">
        <f>ROUND(R274*(R12)/100,2)</f>
        <v>0</v>
      </c>
      <c r="GL274">
        <f t="shared" si="241"/>
        <v>0</v>
      </c>
      <c r="GM274">
        <f t="shared" si="242"/>
        <v>859487.31</v>
      </c>
      <c r="GN274">
        <f t="shared" si="243"/>
        <v>0</v>
      </c>
      <c r="GO274">
        <f t="shared" si="244"/>
        <v>0</v>
      </c>
      <c r="GP274">
        <f t="shared" si="245"/>
        <v>859487.31</v>
      </c>
      <c r="GR274">
        <v>0</v>
      </c>
      <c r="GS274">
        <v>3</v>
      </c>
      <c r="GT274">
        <v>0</v>
      </c>
      <c r="GU274" t="s">
        <v>3</v>
      </c>
      <c r="GV274">
        <f t="shared" si="246"/>
        <v>0</v>
      </c>
      <c r="GW274">
        <v>1</v>
      </c>
      <c r="GX274">
        <f t="shared" si="247"/>
        <v>0</v>
      </c>
      <c r="HA274">
        <v>0</v>
      </c>
      <c r="HB274">
        <v>0</v>
      </c>
      <c r="HC274">
        <f t="shared" si="248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17</v>
      </c>
      <c r="B275">
        <v>1</v>
      </c>
      <c r="D275">
        <f>ROW(EtalonRes!A158)</f>
        <v>158</v>
      </c>
      <c r="E275" t="s">
        <v>3</v>
      </c>
      <c r="F275" t="s">
        <v>160</v>
      </c>
      <c r="G275" t="s">
        <v>161</v>
      </c>
      <c r="H275" t="s">
        <v>39</v>
      </c>
      <c r="I275">
        <v>13</v>
      </c>
      <c r="J275">
        <v>0</v>
      </c>
      <c r="K275">
        <v>13</v>
      </c>
      <c r="O275">
        <f t="shared" si="216"/>
        <v>329483.7</v>
      </c>
      <c r="P275">
        <f t="shared" si="217"/>
        <v>614.25</v>
      </c>
      <c r="Q275">
        <f t="shared" si="218"/>
        <v>0</v>
      </c>
      <c r="R275">
        <f t="shared" si="219"/>
        <v>0</v>
      </c>
      <c r="S275">
        <f t="shared" si="220"/>
        <v>328869.45</v>
      </c>
      <c r="T275">
        <f t="shared" si="221"/>
        <v>0</v>
      </c>
      <c r="U275">
        <f t="shared" si="222"/>
        <v>585</v>
      </c>
      <c r="V275">
        <f t="shared" si="223"/>
        <v>0</v>
      </c>
      <c r="W275">
        <f t="shared" si="224"/>
        <v>0</v>
      </c>
      <c r="X275">
        <f t="shared" si="225"/>
        <v>230208.62</v>
      </c>
      <c r="Y275">
        <f t="shared" si="225"/>
        <v>32886.949999999997</v>
      </c>
      <c r="AA275">
        <v>-1</v>
      </c>
      <c r="AB275">
        <f t="shared" si="226"/>
        <v>25344.9</v>
      </c>
      <c r="AC275">
        <f>ROUND(((ES275*5)),6)</f>
        <v>47.25</v>
      </c>
      <c r="AD275">
        <f t="shared" si="227"/>
        <v>0</v>
      </c>
      <c r="AE275">
        <f>ROUND((EU275),6)</f>
        <v>0</v>
      </c>
      <c r="AF275">
        <f>ROUND(((EV275*5)),6)</f>
        <v>25297.65</v>
      </c>
      <c r="AG275">
        <f t="shared" si="228"/>
        <v>0</v>
      </c>
      <c r="AH275">
        <f>((EW275*5))</f>
        <v>45</v>
      </c>
      <c r="AI275">
        <f>(EX275)</f>
        <v>0</v>
      </c>
      <c r="AJ275">
        <f t="shared" si="229"/>
        <v>0</v>
      </c>
      <c r="AK275">
        <v>5068.9799999999996</v>
      </c>
      <c r="AL275">
        <v>9.4499999999999993</v>
      </c>
      <c r="AM275">
        <v>0</v>
      </c>
      <c r="AN275">
        <v>0</v>
      </c>
      <c r="AO275">
        <v>5059.53</v>
      </c>
      <c r="AP275">
        <v>0</v>
      </c>
      <c r="AQ275">
        <v>9</v>
      </c>
      <c r="AR275">
        <v>0</v>
      </c>
      <c r="AS275">
        <v>0</v>
      </c>
      <c r="AT275">
        <v>70</v>
      </c>
      <c r="AU275">
        <v>10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162</v>
      </c>
      <c r="BM275">
        <v>0</v>
      </c>
      <c r="BN275">
        <v>0</v>
      </c>
      <c r="BO275" t="s">
        <v>3</v>
      </c>
      <c r="BP275">
        <v>0</v>
      </c>
      <c r="BQ275">
        <v>1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70</v>
      </c>
      <c r="CA275">
        <v>10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230"/>
        <v>329483.7</v>
      </c>
      <c r="CQ275">
        <f t="shared" si="231"/>
        <v>47.25</v>
      </c>
      <c r="CR275">
        <f t="shared" si="232"/>
        <v>0</v>
      </c>
      <c r="CS275">
        <f t="shared" si="233"/>
        <v>0</v>
      </c>
      <c r="CT275">
        <f t="shared" si="234"/>
        <v>25297.65</v>
      </c>
      <c r="CU275">
        <f t="shared" si="235"/>
        <v>0</v>
      </c>
      <c r="CV275">
        <f t="shared" si="236"/>
        <v>45</v>
      </c>
      <c r="CW275">
        <f t="shared" si="237"/>
        <v>0</v>
      </c>
      <c r="CX275">
        <f t="shared" si="237"/>
        <v>0</v>
      </c>
      <c r="CY275">
        <f t="shared" si="238"/>
        <v>230208.61499999999</v>
      </c>
      <c r="CZ275">
        <f t="shared" si="239"/>
        <v>32886.945</v>
      </c>
      <c r="DC275" t="s">
        <v>3</v>
      </c>
      <c r="DD275" t="s">
        <v>152</v>
      </c>
      <c r="DE275" t="s">
        <v>3</v>
      </c>
      <c r="DF275" t="s">
        <v>3</v>
      </c>
      <c r="DG275" t="s">
        <v>152</v>
      </c>
      <c r="DH275" t="s">
        <v>3</v>
      </c>
      <c r="DI275" t="s">
        <v>152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16987630</v>
      </c>
      <c r="DV275" t="s">
        <v>39</v>
      </c>
      <c r="DW275" t="s">
        <v>39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1441815344</v>
      </c>
      <c r="EF275">
        <v>1</v>
      </c>
      <c r="EG275" t="s">
        <v>21</v>
      </c>
      <c r="EH275">
        <v>0</v>
      </c>
      <c r="EI275" t="s">
        <v>3</v>
      </c>
      <c r="EJ275">
        <v>4</v>
      </c>
      <c r="EK275">
        <v>0</v>
      </c>
      <c r="EL275" t="s">
        <v>22</v>
      </c>
      <c r="EM275" t="s">
        <v>23</v>
      </c>
      <c r="EO275" t="s">
        <v>3</v>
      </c>
      <c r="EQ275">
        <v>1024</v>
      </c>
      <c r="ER275">
        <v>5068.9799999999996</v>
      </c>
      <c r="ES275">
        <v>9.4499999999999993</v>
      </c>
      <c r="ET275">
        <v>0</v>
      </c>
      <c r="EU275">
        <v>0</v>
      </c>
      <c r="EV275">
        <v>5059.53</v>
      </c>
      <c r="EW275">
        <v>9</v>
      </c>
      <c r="EX275">
        <v>0</v>
      </c>
      <c r="EY275">
        <v>0</v>
      </c>
      <c r="FQ275">
        <v>0</v>
      </c>
      <c r="FR275">
        <f t="shared" si="240"/>
        <v>0</v>
      </c>
      <c r="FS275">
        <v>0</v>
      </c>
      <c r="FX275">
        <v>70</v>
      </c>
      <c r="FY275">
        <v>10</v>
      </c>
      <c r="GA275" t="s">
        <v>3</v>
      </c>
      <c r="GD275">
        <v>0</v>
      </c>
      <c r="GF275">
        <v>1005377869</v>
      </c>
      <c r="GG275">
        <v>2</v>
      </c>
      <c r="GH275">
        <v>1</v>
      </c>
      <c r="GI275">
        <v>-2</v>
      </c>
      <c r="GJ275">
        <v>0</v>
      </c>
      <c r="GK275">
        <f>ROUND(R275*(R12)/100,2)</f>
        <v>0</v>
      </c>
      <c r="GL275">
        <f t="shared" si="241"/>
        <v>0</v>
      </c>
      <c r="GM275">
        <f t="shared" si="242"/>
        <v>592579.27</v>
      </c>
      <c r="GN275">
        <f t="shared" si="243"/>
        <v>0</v>
      </c>
      <c r="GO275">
        <f t="shared" si="244"/>
        <v>0</v>
      </c>
      <c r="GP275">
        <f t="shared" si="245"/>
        <v>592579.27</v>
      </c>
      <c r="GR275">
        <v>0</v>
      </c>
      <c r="GS275">
        <v>3</v>
      </c>
      <c r="GT275">
        <v>0</v>
      </c>
      <c r="GU275" t="s">
        <v>3</v>
      </c>
      <c r="GV275">
        <f t="shared" si="246"/>
        <v>0</v>
      </c>
      <c r="GW275">
        <v>1</v>
      </c>
      <c r="GX275">
        <f t="shared" si="247"/>
        <v>0</v>
      </c>
      <c r="HA275">
        <v>0</v>
      </c>
      <c r="HB275">
        <v>0</v>
      </c>
      <c r="HC275">
        <f t="shared" si="248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6" spans="1:245" x14ac:dyDescent="0.2">
      <c r="A276">
        <v>17</v>
      </c>
      <c r="B276">
        <v>1</v>
      </c>
      <c r="D276">
        <f>ROW(EtalonRes!A160)</f>
        <v>160</v>
      </c>
      <c r="E276" t="s">
        <v>257</v>
      </c>
      <c r="F276" t="s">
        <v>164</v>
      </c>
      <c r="G276" t="s">
        <v>165</v>
      </c>
      <c r="H276" t="s">
        <v>39</v>
      </c>
      <c r="I276">
        <v>4</v>
      </c>
      <c r="J276">
        <v>0</v>
      </c>
      <c r="K276">
        <v>4</v>
      </c>
      <c r="O276">
        <f t="shared" si="216"/>
        <v>1435.08</v>
      </c>
      <c r="P276">
        <f t="shared" si="217"/>
        <v>2.52</v>
      </c>
      <c r="Q276">
        <f t="shared" si="218"/>
        <v>0</v>
      </c>
      <c r="R276">
        <f t="shared" si="219"/>
        <v>0</v>
      </c>
      <c r="S276">
        <f t="shared" si="220"/>
        <v>1432.56</v>
      </c>
      <c r="T276">
        <f t="shared" si="221"/>
        <v>0</v>
      </c>
      <c r="U276">
        <f t="shared" si="222"/>
        <v>2.3199999999999998</v>
      </c>
      <c r="V276">
        <f t="shared" si="223"/>
        <v>0</v>
      </c>
      <c r="W276">
        <f t="shared" si="224"/>
        <v>0</v>
      </c>
      <c r="X276">
        <f t="shared" si="225"/>
        <v>1002.79</v>
      </c>
      <c r="Y276">
        <f t="shared" si="225"/>
        <v>143.26</v>
      </c>
      <c r="AA276">
        <v>1471531721</v>
      </c>
      <c r="AB276">
        <f t="shared" si="226"/>
        <v>358.77</v>
      </c>
      <c r="AC276">
        <f>ROUND((ES276),6)</f>
        <v>0.63</v>
      </c>
      <c r="AD276">
        <f t="shared" si="227"/>
        <v>0</v>
      </c>
      <c r="AE276">
        <f>ROUND((EU276),6)</f>
        <v>0</v>
      </c>
      <c r="AF276">
        <f>ROUND((EV276),6)</f>
        <v>358.14</v>
      </c>
      <c r="AG276">
        <f t="shared" si="228"/>
        <v>0</v>
      </c>
      <c r="AH276">
        <f>(EW276)</f>
        <v>0.57999999999999996</v>
      </c>
      <c r="AI276">
        <f>(EX276)</f>
        <v>0</v>
      </c>
      <c r="AJ276">
        <f t="shared" si="229"/>
        <v>0</v>
      </c>
      <c r="AK276">
        <v>358.77</v>
      </c>
      <c r="AL276">
        <v>0.63</v>
      </c>
      <c r="AM276">
        <v>0</v>
      </c>
      <c r="AN276">
        <v>0</v>
      </c>
      <c r="AO276">
        <v>358.14</v>
      </c>
      <c r="AP276">
        <v>0</v>
      </c>
      <c r="AQ276">
        <v>0.57999999999999996</v>
      </c>
      <c r="AR276">
        <v>0</v>
      </c>
      <c r="AS276">
        <v>0</v>
      </c>
      <c r="AT276">
        <v>70</v>
      </c>
      <c r="AU276">
        <v>10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166</v>
      </c>
      <c r="BM276">
        <v>0</v>
      </c>
      <c r="BN276">
        <v>0</v>
      </c>
      <c r="BO276" t="s">
        <v>3</v>
      </c>
      <c r="BP276">
        <v>0</v>
      </c>
      <c r="BQ276">
        <v>1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70</v>
      </c>
      <c r="CA276">
        <v>10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230"/>
        <v>1435.08</v>
      </c>
      <c r="CQ276">
        <f t="shared" si="231"/>
        <v>0.63</v>
      </c>
      <c r="CR276">
        <f t="shared" si="232"/>
        <v>0</v>
      </c>
      <c r="CS276">
        <f t="shared" si="233"/>
        <v>0</v>
      </c>
      <c r="CT276">
        <f t="shared" si="234"/>
        <v>358.14</v>
      </c>
      <c r="CU276">
        <f t="shared" si="235"/>
        <v>0</v>
      </c>
      <c r="CV276">
        <f t="shared" si="236"/>
        <v>0.57999999999999996</v>
      </c>
      <c r="CW276">
        <f t="shared" si="237"/>
        <v>0</v>
      </c>
      <c r="CX276">
        <f t="shared" si="237"/>
        <v>0</v>
      </c>
      <c r="CY276">
        <f t="shared" si="238"/>
        <v>1002.7919999999999</v>
      </c>
      <c r="CZ276">
        <f t="shared" si="239"/>
        <v>143.25599999999997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16987630</v>
      </c>
      <c r="DV276" t="s">
        <v>39</v>
      </c>
      <c r="DW276" t="s">
        <v>39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1441815344</v>
      </c>
      <c r="EF276">
        <v>1</v>
      </c>
      <c r="EG276" t="s">
        <v>21</v>
      </c>
      <c r="EH276">
        <v>0</v>
      </c>
      <c r="EI276" t="s">
        <v>3</v>
      </c>
      <c r="EJ276">
        <v>4</v>
      </c>
      <c r="EK276">
        <v>0</v>
      </c>
      <c r="EL276" t="s">
        <v>22</v>
      </c>
      <c r="EM276" t="s">
        <v>23</v>
      </c>
      <c r="EO276" t="s">
        <v>3</v>
      </c>
      <c r="EQ276">
        <v>0</v>
      </c>
      <c r="ER276">
        <v>358.77</v>
      </c>
      <c r="ES276">
        <v>0.63</v>
      </c>
      <c r="ET276">
        <v>0</v>
      </c>
      <c r="EU276">
        <v>0</v>
      </c>
      <c r="EV276">
        <v>358.14</v>
      </c>
      <c r="EW276">
        <v>0.57999999999999996</v>
      </c>
      <c r="EX276">
        <v>0</v>
      </c>
      <c r="EY276">
        <v>0</v>
      </c>
      <c r="FQ276">
        <v>0</v>
      </c>
      <c r="FR276">
        <f t="shared" si="240"/>
        <v>0</v>
      </c>
      <c r="FS276">
        <v>0</v>
      </c>
      <c r="FX276">
        <v>70</v>
      </c>
      <c r="FY276">
        <v>10</v>
      </c>
      <c r="GA276" t="s">
        <v>3</v>
      </c>
      <c r="GD276">
        <v>0</v>
      </c>
      <c r="GF276">
        <v>-1603277612</v>
      </c>
      <c r="GG276">
        <v>2</v>
      </c>
      <c r="GH276">
        <v>1</v>
      </c>
      <c r="GI276">
        <v>-2</v>
      </c>
      <c r="GJ276">
        <v>0</v>
      </c>
      <c r="GK276">
        <f>ROUND(R276*(R12)/100,2)</f>
        <v>0</v>
      </c>
      <c r="GL276">
        <f t="shared" si="241"/>
        <v>0</v>
      </c>
      <c r="GM276">
        <f t="shared" si="242"/>
        <v>2581.13</v>
      </c>
      <c r="GN276">
        <f t="shared" si="243"/>
        <v>0</v>
      </c>
      <c r="GO276">
        <f t="shared" si="244"/>
        <v>0</v>
      </c>
      <c r="GP276">
        <f t="shared" si="245"/>
        <v>2581.13</v>
      </c>
      <c r="GR276">
        <v>0</v>
      </c>
      <c r="GS276">
        <v>3</v>
      </c>
      <c r="GT276">
        <v>0</v>
      </c>
      <c r="GU276" t="s">
        <v>3</v>
      </c>
      <c r="GV276">
        <f t="shared" si="246"/>
        <v>0</v>
      </c>
      <c r="GW276">
        <v>1</v>
      </c>
      <c r="GX276">
        <f t="shared" si="247"/>
        <v>0</v>
      </c>
      <c r="HA276">
        <v>0</v>
      </c>
      <c r="HB276">
        <v>0</v>
      </c>
      <c r="HC276">
        <f t="shared" si="248"/>
        <v>0</v>
      </c>
      <c r="HE276" t="s">
        <v>3</v>
      </c>
      <c r="HF276" t="s">
        <v>3</v>
      </c>
      <c r="HM276" t="s">
        <v>3</v>
      </c>
      <c r="HN276" t="s">
        <v>3</v>
      </c>
      <c r="HO276" t="s">
        <v>3</v>
      </c>
      <c r="HP276" t="s">
        <v>3</v>
      </c>
      <c r="HQ276" t="s">
        <v>3</v>
      </c>
      <c r="IK276">
        <v>0</v>
      </c>
    </row>
    <row r="277" spans="1:245" x14ac:dyDescent="0.2">
      <c r="A277">
        <v>17</v>
      </c>
      <c r="B277">
        <v>1</v>
      </c>
      <c r="D277">
        <f>ROW(EtalonRes!A162)</f>
        <v>162</v>
      </c>
      <c r="E277" t="s">
        <v>258</v>
      </c>
      <c r="F277" t="s">
        <v>42</v>
      </c>
      <c r="G277" t="s">
        <v>74</v>
      </c>
      <c r="H277" t="s">
        <v>39</v>
      </c>
      <c r="I277">
        <f>ROUND(6*4,9)</f>
        <v>24</v>
      </c>
      <c r="J277">
        <v>0</v>
      </c>
      <c r="K277">
        <f>ROUND(6*4,9)</f>
        <v>24</v>
      </c>
      <c r="O277">
        <f t="shared" si="216"/>
        <v>6868.32</v>
      </c>
      <c r="P277">
        <f t="shared" si="217"/>
        <v>0</v>
      </c>
      <c r="Q277">
        <f t="shared" si="218"/>
        <v>1876.32</v>
      </c>
      <c r="R277">
        <f t="shared" si="219"/>
        <v>1189.68</v>
      </c>
      <c r="S277">
        <f t="shared" si="220"/>
        <v>4992</v>
      </c>
      <c r="T277">
        <f t="shared" si="221"/>
        <v>0</v>
      </c>
      <c r="U277">
        <f t="shared" si="222"/>
        <v>8.879999999999999</v>
      </c>
      <c r="V277">
        <f t="shared" si="223"/>
        <v>0</v>
      </c>
      <c r="W277">
        <f t="shared" si="224"/>
        <v>0</v>
      </c>
      <c r="X277">
        <f t="shared" si="225"/>
        <v>3494.4</v>
      </c>
      <c r="Y277">
        <f t="shared" si="225"/>
        <v>499.2</v>
      </c>
      <c r="AA277">
        <v>1471531721</v>
      </c>
      <c r="AB277">
        <f t="shared" si="226"/>
        <v>286.18</v>
      </c>
      <c r="AC277">
        <f>ROUND((ES277),6)</f>
        <v>0</v>
      </c>
      <c r="AD277">
        <f t="shared" si="227"/>
        <v>78.180000000000007</v>
      </c>
      <c r="AE277">
        <f>ROUND((EU277),6)</f>
        <v>49.57</v>
      </c>
      <c r="AF277">
        <f>ROUND((EV277),6)</f>
        <v>208</v>
      </c>
      <c r="AG277">
        <f t="shared" si="228"/>
        <v>0</v>
      </c>
      <c r="AH277">
        <f>(EW277)</f>
        <v>0.37</v>
      </c>
      <c r="AI277">
        <f>(EX277)</f>
        <v>0</v>
      </c>
      <c r="AJ277">
        <f t="shared" si="229"/>
        <v>0</v>
      </c>
      <c r="AK277">
        <v>286.18</v>
      </c>
      <c r="AL277">
        <v>0</v>
      </c>
      <c r="AM277">
        <v>78.180000000000007</v>
      </c>
      <c r="AN277">
        <v>49.57</v>
      </c>
      <c r="AO277">
        <v>208</v>
      </c>
      <c r="AP277">
        <v>0</v>
      </c>
      <c r="AQ277">
        <v>0.37</v>
      </c>
      <c r="AR277">
        <v>0</v>
      </c>
      <c r="AS277">
        <v>0</v>
      </c>
      <c r="AT277">
        <v>70</v>
      </c>
      <c r="AU277">
        <v>10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44</v>
      </c>
      <c r="BM277">
        <v>0</v>
      </c>
      <c r="BN277">
        <v>0</v>
      </c>
      <c r="BO277" t="s">
        <v>3</v>
      </c>
      <c r="BP277">
        <v>0</v>
      </c>
      <c r="BQ277">
        <v>1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10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230"/>
        <v>6868.32</v>
      </c>
      <c r="CQ277">
        <f t="shared" si="231"/>
        <v>0</v>
      </c>
      <c r="CR277">
        <f t="shared" si="232"/>
        <v>78.180000000000007</v>
      </c>
      <c r="CS277">
        <f t="shared" si="233"/>
        <v>49.57</v>
      </c>
      <c r="CT277">
        <f t="shared" si="234"/>
        <v>208</v>
      </c>
      <c r="CU277">
        <f t="shared" si="235"/>
        <v>0</v>
      </c>
      <c r="CV277">
        <f t="shared" si="236"/>
        <v>0.37</v>
      </c>
      <c r="CW277">
        <f t="shared" si="237"/>
        <v>0</v>
      </c>
      <c r="CX277">
        <f t="shared" si="237"/>
        <v>0</v>
      </c>
      <c r="CY277">
        <f t="shared" si="238"/>
        <v>3494.4</v>
      </c>
      <c r="CZ277">
        <f t="shared" si="239"/>
        <v>499.2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16987630</v>
      </c>
      <c r="DV277" t="s">
        <v>39</v>
      </c>
      <c r="DW277" t="s">
        <v>39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1441815344</v>
      </c>
      <c r="EF277">
        <v>1</v>
      </c>
      <c r="EG277" t="s">
        <v>21</v>
      </c>
      <c r="EH277">
        <v>0</v>
      </c>
      <c r="EI277" t="s">
        <v>3</v>
      </c>
      <c r="EJ277">
        <v>4</v>
      </c>
      <c r="EK277">
        <v>0</v>
      </c>
      <c r="EL277" t="s">
        <v>22</v>
      </c>
      <c r="EM277" t="s">
        <v>23</v>
      </c>
      <c r="EO277" t="s">
        <v>3</v>
      </c>
      <c r="EQ277">
        <v>0</v>
      </c>
      <c r="ER277">
        <v>286.18</v>
      </c>
      <c r="ES277">
        <v>0</v>
      </c>
      <c r="ET277">
        <v>78.180000000000007</v>
      </c>
      <c r="EU277">
        <v>49.57</v>
      </c>
      <c r="EV277">
        <v>208</v>
      </c>
      <c r="EW277">
        <v>0.37</v>
      </c>
      <c r="EX277">
        <v>0</v>
      </c>
      <c r="EY277">
        <v>0</v>
      </c>
      <c r="FQ277">
        <v>0</v>
      </c>
      <c r="FR277">
        <f t="shared" si="240"/>
        <v>0</v>
      </c>
      <c r="FS277">
        <v>0</v>
      </c>
      <c r="FX277">
        <v>70</v>
      </c>
      <c r="FY277">
        <v>10</v>
      </c>
      <c r="GA277" t="s">
        <v>3</v>
      </c>
      <c r="GD277">
        <v>0</v>
      </c>
      <c r="GF277">
        <v>139218651</v>
      </c>
      <c r="GG277">
        <v>2</v>
      </c>
      <c r="GH277">
        <v>1</v>
      </c>
      <c r="GI277">
        <v>-2</v>
      </c>
      <c r="GJ277">
        <v>0</v>
      </c>
      <c r="GK277">
        <f>ROUND(R277*(R12)/100,2)</f>
        <v>1284.8499999999999</v>
      </c>
      <c r="GL277">
        <f t="shared" si="241"/>
        <v>0</v>
      </c>
      <c r="GM277">
        <f t="shared" si="242"/>
        <v>12146.77</v>
      </c>
      <c r="GN277">
        <f t="shared" si="243"/>
        <v>0</v>
      </c>
      <c r="GO277">
        <f t="shared" si="244"/>
        <v>0</v>
      </c>
      <c r="GP277">
        <f t="shared" si="245"/>
        <v>12146.77</v>
      </c>
      <c r="GR277">
        <v>0</v>
      </c>
      <c r="GS277">
        <v>3</v>
      </c>
      <c r="GT277">
        <v>0</v>
      </c>
      <c r="GU277" t="s">
        <v>3</v>
      </c>
      <c r="GV277">
        <f t="shared" si="246"/>
        <v>0</v>
      </c>
      <c r="GW277">
        <v>1</v>
      </c>
      <c r="GX277">
        <f t="shared" si="247"/>
        <v>0</v>
      </c>
      <c r="HA277">
        <v>0</v>
      </c>
      <c r="HB277">
        <v>0</v>
      </c>
      <c r="HC277">
        <f t="shared" si="248"/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9" spans="1:245" x14ac:dyDescent="0.2">
      <c r="A279" s="2">
        <v>51</v>
      </c>
      <c r="B279" s="2">
        <f>B268</f>
        <v>1</v>
      </c>
      <c r="C279" s="2">
        <f>A268</f>
        <v>5</v>
      </c>
      <c r="D279" s="2">
        <f>ROW(A268)</f>
        <v>268</v>
      </c>
      <c r="E279" s="2"/>
      <c r="F279" s="2" t="str">
        <f>IF(F268&lt;&gt;"",F268,"")</f>
        <v>Новый подраздел</v>
      </c>
      <c r="G279" s="2" t="str">
        <f>IF(G268&lt;&gt;"",G268,"")</f>
        <v>Техническое помещение общее на модуль</v>
      </c>
      <c r="H279" s="2">
        <v>0</v>
      </c>
      <c r="I279" s="2"/>
      <c r="J279" s="2"/>
      <c r="K279" s="2"/>
      <c r="L279" s="2"/>
      <c r="M279" s="2"/>
      <c r="N279" s="2"/>
      <c r="O279" s="2">
        <f t="shared" ref="O279:T279" si="249">ROUND(AB279,2)</f>
        <v>57816.68</v>
      </c>
      <c r="P279" s="2">
        <f t="shared" si="249"/>
        <v>23530.400000000001</v>
      </c>
      <c r="Q279" s="2">
        <f t="shared" si="249"/>
        <v>7627.08</v>
      </c>
      <c r="R279" s="2">
        <f t="shared" si="249"/>
        <v>4773.28</v>
      </c>
      <c r="S279" s="2">
        <f t="shared" si="249"/>
        <v>26659.200000000001</v>
      </c>
      <c r="T279" s="2">
        <f t="shared" si="249"/>
        <v>0</v>
      </c>
      <c r="U279" s="2">
        <f>AH279</f>
        <v>41</v>
      </c>
      <c r="V279" s="2">
        <f>AI279</f>
        <v>0</v>
      </c>
      <c r="W279" s="2">
        <f>ROUND(AJ279,2)</f>
        <v>0</v>
      </c>
      <c r="X279" s="2">
        <f>ROUND(AK279,2)</f>
        <v>18661.43</v>
      </c>
      <c r="Y279" s="2">
        <f>ROUND(AL279,2)</f>
        <v>2665.92</v>
      </c>
      <c r="Z279" s="2"/>
      <c r="AA279" s="2"/>
      <c r="AB279" s="2">
        <f>ROUND(SUMIF(AA272:AA277,"=1471531721",O272:O277),2)</f>
        <v>57816.68</v>
      </c>
      <c r="AC279" s="2">
        <f>ROUND(SUMIF(AA272:AA277,"=1471531721",P272:P277),2)</f>
        <v>23530.400000000001</v>
      </c>
      <c r="AD279" s="2">
        <f>ROUND(SUMIF(AA272:AA277,"=1471531721",Q272:Q277),2)</f>
        <v>7627.08</v>
      </c>
      <c r="AE279" s="2">
        <f>ROUND(SUMIF(AA272:AA277,"=1471531721",R272:R277),2)</f>
        <v>4773.28</v>
      </c>
      <c r="AF279" s="2">
        <f>ROUND(SUMIF(AA272:AA277,"=1471531721",S272:S277),2)</f>
        <v>26659.200000000001</v>
      </c>
      <c r="AG279" s="2">
        <f>ROUND(SUMIF(AA272:AA277,"=1471531721",T272:T277),2)</f>
        <v>0</v>
      </c>
      <c r="AH279" s="2">
        <f>SUMIF(AA272:AA277,"=1471531721",U272:U277)</f>
        <v>41</v>
      </c>
      <c r="AI279" s="2">
        <f>SUMIF(AA272:AA277,"=1471531721",V272:V277)</f>
        <v>0</v>
      </c>
      <c r="AJ279" s="2">
        <f>ROUND(SUMIF(AA272:AA277,"=1471531721",W272:W277),2)</f>
        <v>0</v>
      </c>
      <c r="AK279" s="2">
        <f>ROUND(SUMIF(AA272:AA277,"=1471531721",X272:X277),2)</f>
        <v>18661.43</v>
      </c>
      <c r="AL279" s="2">
        <f>ROUND(SUMIF(AA272:AA277,"=1471531721",Y272:Y277),2)</f>
        <v>2665.92</v>
      </c>
      <c r="AM279" s="2"/>
      <c r="AN279" s="2"/>
      <c r="AO279" s="2">
        <f t="shared" ref="AO279:BD279" si="250">ROUND(BX279,2)</f>
        <v>0</v>
      </c>
      <c r="AP279" s="2">
        <f t="shared" si="250"/>
        <v>0</v>
      </c>
      <c r="AQ279" s="2">
        <f t="shared" si="250"/>
        <v>0</v>
      </c>
      <c r="AR279" s="2">
        <f t="shared" si="250"/>
        <v>84299.17</v>
      </c>
      <c r="AS279" s="2">
        <f t="shared" si="250"/>
        <v>0</v>
      </c>
      <c r="AT279" s="2">
        <f t="shared" si="250"/>
        <v>0</v>
      </c>
      <c r="AU279" s="2">
        <f t="shared" si="250"/>
        <v>84299.17</v>
      </c>
      <c r="AV279" s="2">
        <f t="shared" si="250"/>
        <v>23530.400000000001</v>
      </c>
      <c r="AW279" s="2">
        <f t="shared" si="250"/>
        <v>23530.400000000001</v>
      </c>
      <c r="AX279" s="2">
        <f t="shared" si="250"/>
        <v>0</v>
      </c>
      <c r="AY279" s="2">
        <f t="shared" si="250"/>
        <v>23530.400000000001</v>
      </c>
      <c r="AZ279" s="2">
        <f t="shared" si="250"/>
        <v>0</v>
      </c>
      <c r="BA279" s="2">
        <f t="shared" si="250"/>
        <v>0</v>
      </c>
      <c r="BB279" s="2">
        <f t="shared" si="250"/>
        <v>0</v>
      </c>
      <c r="BC279" s="2">
        <f t="shared" si="250"/>
        <v>0</v>
      </c>
      <c r="BD279" s="2">
        <f t="shared" si="250"/>
        <v>0</v>
      </c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>
        <f>ROUND(SUMIF(AA272:AA277,"=1471531721",FQ272:FQ277),2)</f>
        <v>0</v>
      </c>
      <c r="BY279" s="2">
        <f>ROUND(SUMIF(AA272:AA277,"=1471531721",FR272:FR277),2)</f>
        <v>0</v>
      </c>
      <c r="BZ279" s="2">
        <f>ROUND(SUMIF(AA272:AA277,"=1471531721",GL272:GL277),2)</f>
        <v>0</v>
      </c>
      <c r="CA279" s="2">
        <f>ROUND(SUMIF(AA272:AA277,"=1471531721",GM272:GM277),2)</f>
        <v>84299.17</v>
      </c>
      <c r="CB279" s="2">
        <f>ROUND(SUMIF(AA272:AA277,"=1471531721",GN272:GN277),2)</f>
        <v>0</v>
      </c>
      <c r="CC279" s="2">
        <f>ROUND(SUMIF(AA272:AA277,"=1471531721",GO272:GO277),2)</f>
        <v>0</v>
      </c>
      <c r="CD279" s="2">
        <f>ROUND(SUMIF(AA272:AA277,"=1471531721",GP272:GP277),2)</f>
        <v>84299.17</v>
      </c>
      <c r="CE279" s="2">
        <f>AC279-BX279</f>
        <v>23530.400000000001</v>
      </c>
      <c r="CF279" s="2">
        <f>AC279-BY279</f>
        <v>23530.400000000001</v>
      </c>
      <c r="CG279" s="2">
        <f>BX279-BZ279</f>
        <v>0</v>
      </c>
      <c r="CH279" s="2">
        <f>AC279-BX279-BY279+BZ279</f>
        <v>23530.400000000001</v>
      </c>
      <c r="CI279" s="2">
        <f>BY279-BZ279</f>
        <v>0</v>
      </c>
      <c r="CJ279" s="2">
        <f>ROUND(SUMIF(AA272:AA277,"=1471531721",GX272:GX277),2)</f>
        <v>0</v>
      </c>
      <c r="CK279" s="2">
        <f>ROUND(SUMIF(AA272:AA277,"=1471531721",GY272:GY277),2)</f>
        <v>0</v>
      </c>
      <c r="CL279" s="2">
        <f>ROUND(SUMIF(AA272:AA277,"=1471531721",GZ272:GZ277),2)</f>
        <v>0</v>
      </c>
      <c r="CM279" s="2">
        <f>ROUND(SUMIF(AA272:AA277,"=1471531721",HD272:HD277),2)</f>
        <v>0</v>
      </c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3"/>
      <c r="DH279" s="3"/>
      <c r="DI279" s="3"/>
      <c r="DJ279" s="3"/>
      <c r="DK279" s="3"/>
      <c r="DL279" s="3"/>
      <c r="DM279" s="3"/>
      <c r="DN279" s="3"/>
      <c r="DO279" s="3"/>
      <c r="DP279" s="3"/>
      <c r="DQ279" s="3"/>
      <c r="DR279" s="3"/>
      <c r="DS279" s="3"/>
      <c r="DT279" s="3"/>
      <c r="DU279" s="3"/>
      <c r="DV279" s="3"/>
      <c r="DW279" s="3"/>
      <c r="DX279" s="3"/>
      <c r="DY279" s="3"/>
      <c r="DZ279" s="3"/>
      <c r="EA279" s="3"/>
      <c r="EB279" s="3"/>
      <c r="EC279" s="3"/>
      <c r="ED279" s="3"/>
      <c r="EE279" s="3"/>
      <c r="EF279" s="3"/>
      <c r="EG279" s="3"/>
      <c r="EH279" s="3"/>
      <c r="EI279" s="3"/>
      <c r="EJ279" s="3"/>
      <c r="EK279" s="3"/>
      <c r="EL279" s="3"/>
      <c r="EM279" s="3"/>
      <c r="EN279" s="3"/>
      <c r="EO279" s="3"/>
      <c r="EP279" s="3"/>
      <c r="EQ279" s="3"/>
      <c r="ER279" s="3"/>
      <c r="ES279" s="3"/>
      <c r="ET279" s="3"/>
      <c r="EU279" s="3"/>
      <c r="EV279" s="3"/>
      <c r="EW279" s="3"/>
      <c r="EX279" s="3"/>
      <c r="EY279" s="3"/>
      <c r="EZ279" s="3"/>
      <c r="FA279" s="3"/>
      <c r="FB279" s="3"/>
      <c r="FC279" s="3"/>
      <c r="FD279" s="3"/>
      <c r="FE279" s="3"/>
      <c r="FF279" s="3"/>
      <c r="FG279" s="3"/>
      <c r="FH279" s="3"/>
      <c r="FI279" s="3"/>
      <c r="FJ279" s="3"/>
      <c r="FK279" s="3"/>
      <c r="FL279" s="3"/>
      <c r="FM279" s="3"/>
      <c r="FN279" s="3"/>
      <c r="FO279" s="3"/>
      <c r="FP279" s="3"/>
      <c r="FQ279" s="3"/>
      <c r="FR279" s="3"/>
      <c r="FS279" s="3"/>
      <c r="FT279" s="3"/>
      <c r="FU279" s="3"/>
      <c r="FV279" s="3"/>
      <c r="FW279" s="3"/>
      <c r="FX279" s="3"/>
      <c r="FY279" s="3"/>
      <c r="FZ279" s="3"/>
      <c r="GA279" s="3"/>
      <c r="GB279" s="3"/>
      <c r="GC279" s="3"/>
      <c r="GD279" s="3"/>
      <c r="GE279" s="3"/>
      <c r="GF279" s="3"/>
      <c r="GG279" s="3"/>
      <c r="GH279" s="3"/>
      <c r="GI279" s="3"/>
      <c r="GJ279" s="3"/>
      <c r="GK279" s="3"/>
      <c r="GL279" s="3"/>
      <c r="GM279" s="3"/>
      <c r="GN279" s="3"/>
      <c r="GO279" s="3"/>
      <c r="GP279" s="3"/>
      <c r="GQ279" s="3"/>
      <c r="GR279" s="3"/>
      <c r="GS279" s="3"/>
      <c r="GT279" s="3"/>
      <c r="GU279" s="3"/>
      <c r="GV279" s="3"/>
      <c r="GW279" s="3"/>
      <c r="GX279" s="3">
        <v>0</v>
      </c>
    </row>
    <row r="281" spans="1:245" x14ac:dyDescent="0.2">
      <c r="A281" s="4">
        <v>50</v>
      </c>
      <c r="B281" s="4">
        <v>0</v>
      </c>
      <c r="C281" s="4">
        <v>0</v>
      </c>
      <c r="D281" s="4">
        <v>1</v>
      </c>
      <c r="E281" s="4">
        <v>201</v>
      </c>
      <c r="F281" s="4">
        <f>ROUND(Source!O279,O281)</f>
        <v>57816.68</v>
      </c>
      <c r="G281" s="4" t="s">
        <v>86</v>
      </c>
      <c r="H281" s="4" t="s">
        <v>87</v>
      </c>
      <c r="I281" s="4"/>
      <c r="J281" s="4"/>
      <c r="K281" s="4">
        <v>201</v>
      </c>
      <c r="L281" s="4">
        <v>1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57816.68</v>
      </c>
      <c r="X281" s="4">
        <v>1</v>
      </c>
      <c r="Y281" s="4">
        <v>57816.68</v>
      </c>
      <c r="Z281" s="4"/>
      <c r="AA281" s="4"/>
      <c r="AB281" s="4"/>
    </row>
    <row r="282" spans="1:245" x14ac:dyDescent="0.2">
      <c r="A282" s="4">
        <v>50</v>
      </c>
      <c r="B282" s="4">
        <v>0</v>
      </c>
      <c r="C282" s="4">
        <v>0</v>
      </c>
      <c r="D282" s="4">
        <v>1</v>
      </c>
      <c r="E282" s="4">
        <v>202</v>
      </c>
      <c r="F282" s="4">
        <f>ROUND(Source!P279,O282)</f>
        <v>23530.400000000001</v>
      </c>
      <c r="G282" s="4" t="s">
        <v>88</v>
      </c>
      <c r="H282" s="4" t="s">
        <v>89</v>
      </c>
      <c r="I282" s="4"/>
      <c r="J282" s="4"/>
      <c r="K282" s="4">
        <v>202</v>
      </c>
      <c r="L282" s="4">
        <v>2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23530.400000000001</v>
      </c>
      <c r="X282" s="4">
        <v>1</v>
      </c>
      <c r="Y282" s="4">
        <v>23530.400000000001</v>
      </c>
      <c r="Z282" s="4"/>
      <c r="AA282" s="4"/>
      <c r="AB282" s="4"/>
    </row>
    <row r="283" spans="1:245" x14ac:dyDescent="0.2">
      <c r="A283" s="4">
        <v>50</v>
      </c>
      <c r="B283" s="4">
        <v>0</v>
      </c>
      <c r="C283" s="4">
        <v>0</v>
      </c>
      <c r="D283" s="4">
        <v>1</v>
      </c>
      <c r="E283" s="4">
        <v>222</v>
      </c>
      <c r="F283" s="4">
        <f>ROUND(Source!AO279,O283)</f>
        <v>0</v>
      </c>
      <c r="G283" s="4" t="s">
        <v>90</v>
      </c>
      <c r="H283" s="4" t="s">
        <v>91</v>
      </c>
      <c r="I283" s="4"/>
      <c r="J283" s="4"/>
      <c r="K283" s="4">
        <v>222</v>
      </c>
      <c r="L283" s="4">
        <v>3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45" x14ac:dyDescent="0.2">
      <c r="A284" s="4">
        <v>50</v>
      </c>
      <c r="B284" s="4">
        <v>0</v>
      </c>
      <c r="C284" s="4">
        <v>0</v>
      </c>
      <c r="D284" s="4">
        <v>1</v>
      </c>
      <c r="E284" s="4">
        <v>225</v>
      </c>
      <c r="F284" s="4">
        <f>ROUND(Source!AV279,O284)</f>
        <v>23530.400000000001</v>
      </c>
      <c r="G284" s="4" t="s">
        <v>92</v>
      </c>
      <c r="H284" s="4" t="s">
        <v>93</v>
      </c>
      <c r="I284" s="4"/>
      <c r="J284" s="4"/>
      <c r="K284" s="4">
        <v>225</v>
      </c>
      <c r="L284" s="4">
        <v>4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23530.400000000001</v>
      </c>
      <c r="X284" s="4">
        <v>1</v>
      </c>
      <c r="Y284" s="4">
        <v>23530.400000000001</v>
      </c>
      <c r="Z284" s="4"/>
      <c r="AA284" s="4"/>
      <c r="AB284" s="4"/>
    </row>
    <row r="285" spans="1:245" x14ac:dyDescent="0.2">
      <c r="A285" s="4">
        <v>50</v>
      </c>
      <c r="B285" s="4">
        <v>0</v>
      </c>
      <c r="C285" s="4">
        <v>0</v>
      </c>
      <c r="D285" s="4">
        <v>1</v>
      </c>
      <c r="E285" s="4">
        <v>226</v>
      </c>
      <c r="F285" s="4">
        <f>ROUND(Source!AW279,O285)</f>
        <v>23530.400000000001</v>
      </c>
      <c r="G285" s="4" t="s">
        <v>94</v>
      </c>
      <c r="H285" s="4" t="s">
        <v>95</v>
      </c>
      <c r="I285" s="4"/>
      <c r="J285" s="4"/>
      <c r="K285" s="4">
        <v>226</v>
      </c>
      <c r="L285" s="4">
        <v>5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23530.400000000001</v>
      </c>
      <c r="X285" s="4">
        <v>1</v>
      </c>
      <c r="Y285" s="4">
        <v>23530.400000000001</v>
      </c>
      <c r="Z285" s="4"/>
      <c r="AA285" s="4"/>
      <c r="AB285" s="4"/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227</v>
      </c>
      <c r="F286" s="4">
        <f>ROUND(Source!AX279,O286)</f>
        <v>0</v>
      </c>
      <c r="G286" s="4" t="s">
        <v>96</v>
      </c>
      <c r="H286" s="4" t="s">
        <v>97</v>
      </c>
      <c r="I286" s="4"/>
      <c r="J286" s="4"/>
      <c r="K286" s="4">
        <v>227</v>
      </c>
      <c r="L286" s="4">
        <v>6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228</v>
      </c>
      <c r="F287" s="4">
        <f>ROUND(Source!AY279,O287)</f>
        <v>23530.400000000001</v>
      </c>
      <c r="G287" s="4" t="s">
        <v>98</v>
      </c>
      <c r="H287" s="4" t="s">
        <v>99</v>
      </c>
      <c r="I287" s="4"/>
      <c r="J287" s="4"/>
      <c r="K287" s="4">
        <v>228</v>
      </c>
      <c r="L287" s="4">
        <v>7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23530.400000000001</v>
      </c>
      <c r="X287" s="4">
        <v>1</v>
      </c>
      <c r="Y287" s="4">
        <v>23530.400000000001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216</v>
      </c>
      <c r="F288" s="4">
        <f>ROUND(Source!AP279,O288)</f>
        <v>0</v>
      </c>
      <c r="G288" s="4" t="s">
        <v>100</v>
      </c>
      <c r="H288" s="4" t="s">
        <v>101</v>
      </c>
      <c r="I288" s="4"/>
      <c r="J288" s="4"/>
      <c r="K288" s="4">
        <v>216</v>
      </c>
      <c r="L288" s="4">
        <v>8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223</v>
      </c>
      <c r="F289" s="4">
        <f>ROUND(Source!AQ279,O289)</f>
        <v>0</v>
      </c>
      <c r="G289" s="4" t="s">
        <v>102</v>
      </c>
      <c r="H289" s="4" t="s">
        <v>103</v>
      </c>
      <c r="I289" s="4"/>
      <c r="J289" s="4"/>
      <c r="K289" s="4">
        <v>223</v>
      </c>
      <c r="L289" s="4">
        <v>9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229</v>
      </c>
      <c r="F290" s="4">
        <f>ROUND(Source!AZ279,O290)</f>
        <v>0</v>
      </c>
      <c r="G290" s="4" t="s">
        <v>104</v>
      </c>
      <c r="H290" s="4" t="s">
        <v>105</v>
      </c>
      <c r="I290" s="4"/>
      <c r="J290" s="4"/>
      <c r="K290" s="4">
        <v>229</v>
      </c>
      <c r="L290" s="4">
        <v>10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203</v>
      </c>
      <c r="F291" s="4">
        <f>ROUND(Source!Q279,O291)</f>
        <v>7627.08</v>
      </c>
      <c r="G291" s="4" t="s">
        <v>106</v>
      </c>
      <c r="H291" s="4" t="s">
        <v>107</v>
      </c>
      <c r="I291" s="4"/>
      <c r="J291" s="4"/>
      <c r="K291" s="4">
        <v>203</v>
      </c>
      <c r="L291" s="4">
        <v>11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7627.08</v>
      </c>
      <c r="X291" s="4">
        <v>1</v>
      </c>
      <c r="Y291" s="4">
        <v>7627.08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231</v>
      </c>
      <c r="F292" s="4">
        <f>ROUND(Source!BB279,O292)</f>
        <v>0</v>
      </c>
      <c r="G292" s="4" t="s">
        <v>108</v>
      </c>
      <c r="H292" s="4" t="s">
        <v>109</v>
      </c>
      <c r="I292" s="4"/>
      <c r="J292" s="4"/>
      <c r="K292" s="4">
        <v>231</v>
      </c>
      <c r="L292" s="4">
        <v>12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204</v>
      </c>
      <c r="F293" s="4">
        <f>ROUND(Source!R279,O293)</f>
        <v>4773.28</v>
      </c>
      <c r="G293" s="4" t="s">
        <v>110</v>
      </c>
      <c r="H293" s="4" t="s">
        <v>111</v>
      </c>
      <c r="I293" s="4"/>
      <c r="J293" s="4"/>
      <c r="K293" s="4">
        <v>204</v>
      </c>
      <c r="L293" s="4">
        <v>13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4773.28</v>
      </c>
      <c r="X293" s="4">
        <v>1</v>
      </c>
      <c r="Y293" s="4">
        <v>4773.28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205</v>
      </c>
      <c r="F294" s="4">
        <f>ROUND(Source!S279,O294)</f>
        <v>26659.200000000001</v>
      </c>
      <c r="G294" s="4" t="s">
        <v>112</v>
      </c>
      <c r="H294" s="4" t="s">
        <v>113</v>
      </c>
      <c r="I294" s="4"/>
      <c r="J294" s="4"/>
      <c r="K294" s="4">
        <v>205</v>
      </c>
      <c r="L294" s="4">
        <v>14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26659.200000000001</v>
      </c>
      <c r="X294" s="4">
        <v>1</v>
      </c>
      <c r="Y294" s="4">
        <v>26659.200000000001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232</v>
      </c>
      <c r="F295" s="4">
        <f>ROUND(Source!BC279,O295)</f>
        <v>0</v>
      </c>
      <c r="G295" s="4" t="s">
        <v>114</v>
      </c>
      <c r="H295" s="4" t="s">
        <v>115</v>
      </c>
      <c r="I295" s="4"/>
      <c r="J295" s="4"/>
      <c r="K295" s="4">
        <v>232</v>
      </c>
      <c r="L295" s="4">
        <v>15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214</v>
      </c>
      <c r="F296" s="4">
        <f>ROUND(Source!AS279,O296)</f>
        <v>0</v>
      </c>
      <c r="G296" s="4" t="s">
        <v>116</v>
      </c>
      <c r="H296" s="4" t="s">
        <v>117</v>
      </c>
      <c r="I296" s="4"/>
      <c r="J296" s="4"/>
      <c r="K296" s="4">
        <v>214</v>
      </c>
      <c r="L296" s="4">
        <v>16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215</v>
      </c>
      <c r="F297" s="4">
        <f>ROUND(Source!AT279,O297)</f>
        <v>0</v>
      </c>
      <c r="G297" s="4" t="s">
        <v>118</v>
      </c>
      <c r="H297" s="4" t="s">
        <v>119</v>
      </c>
      <c r="I297" s="4"/>
      <c r="J297" s="4"/>
      <c r="K297" s="4">
        <v>215</v>
      </c>
      <c r="L297" s="4">
        <v>17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217</v>
      </c>
      <c r="F298" s="4">
        <f>ROUND(Source!AU279,O298)</f>
        <v>84299.17</v>
      </c>
      <c r="G298" s="4" t="s">
        <v>120</v>
      </c>
      <c r="H298" s="4" t="s">
        <v>121</v>
      </c>
      <c r="I298" s="4"/>
      <c r="J298" s="4"/>
      <c r="K298" s="4">
        <v>217</v>
      </c>
      <c r="L298" s="4">
        <v>18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84299.17</v>
      </c>
      <c r="X298" s="4">
        <v>1</v>
      </c>
      <c r="Y298" s="4">
        <v>84299.17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230</v>
      </c>
      <c r="F299" s="4">
        <f>ROUND(Source!BA279,O299)</f>
        <v>0</v>
      </c>
      <c r="G299" s="4" t="s">
        <v>122</v>
      </c>
      <c r="H299" s="4" t="s">
        <v>123</v>
      </c>
      <c r="I299" s="4"/>
      <c r="J299" s="4"/>
      <c r="K299" s="4">
        <v>230</v>
      </c>
      <c r="L299" s="4">
        <v>19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206</v>
      </c>
      <c r="F300" s="4">
        <f>ROUND(Source!T279,O300)</f>
        <v>0</v>
      </c>
      <c r="G300" s="4" t="s">
        <v>124</v>
      </c>
      <c r="H300" s="4" t="s">
        <v>125</v>
      </c>
      <c r="I300" s="4"/>
      <c r="J300" s="4"/>
      <c r="K300" s="4">
        <v>206</v>
      </c>
      <c r="L300" s="4">
        <v>20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207</v>
      </c>
      <c r="F301" s="4">
        <f>Source!U279</f>
        <v>41</v>
      </c>
      <c r="G301" s="4" t="s">
        <v>126</v>
      </c>
      <c r="H301" s="4" t="s">
        <v>127</v>
      </c>
      <c r="I301" s="4"/>
      <c r="J301" s="4"/>
      <c r="K301" s="4">
        <v>207</v>
      </c>
      <c r="L301" s="4">
        <v>21</v>
      </c>
      <c r="M301" s="4">
        <v>3</v>
      </c>
      <c r="N301" s="4" t="s">
        <v>3</v>
      </c>
      <c r="O301" s="4">
        <v>-1</v>
      </c>
      <c r="P301" s="4"/>
      <c r="Q301" s="4"/>
      <c r="R301" s="4"/>
      <c r="S301" s="4"/>
      <c r="T301" s="4"/>
      <c r="U301" s="4"/>
      <c r="V301" s="4"/>
      <c r="W301" s="4">
        <v>41</v>
      </c>
      <c r="X301" s="4">
        <v>1</v>
      </c>
      <c r="Y301" s="4">
        <v>41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208</v>
      </c>
      <c r="F302" s="4">
        <f>Source!V279</f>
        <v>0</v>
      </c>
      <c r="G302" s="4" t="s">
        <v>128</v>
      </c>
      <c r="H302" s="4" t="s">
        <v>129</v>
      </c>
      <c r="I302" s="4"/>
      <c r="J302" s="4"/>
      <c r="K302" s="4">
        <v>208</v>
      </c>
      <c r="L302" s="4">
        <v>22</v>
      </c>
      <c r="M302" s="4">
        <v>3</v>
      </c>
      <c r="N302" s="4" t="s">
        <v>3</v>
      </c>
      <c r="O302" s="4">
        <v>-1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209</v>
      </c>
      <c r="F303" s="4">
        <f>ROUND(Source!W279,O303)</f>
        <v>0</v>
      </c>
      <c r="G303" s="4" t="s">
        <v>130</v>
      </c>
      <c r="H303" s="4" t="s">
        <v>131</v>
      </c>
      <c r="I303" s="4"/>
      <c r="J303" s="4"/>
      <c r="K303" s="4">
        <v>209</v>
      </c>
      <c r="L303" s="4">
        <v>23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233</v>
      </c>
      <c r="F304" s="4">
        <f>ROUND(Source!BD279,O304)</f>
        <v>0</v>
      </c>
      <c r="G304" s="4" t="s">
        <v>132</v>
      </c>
      <c r="H304" s="4" t="s">
        <v>133</v>
      </c>
      <c r="I304" s="4"/>
      <c r="J304" s="4"/>
      <c r="K304" s="4">
        <v>233</v>
      </c>
      <c r="L304" s="4">
        <v>24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45" x14ac:dyDescent="0.2">
      <c r="A305" s="4">
        <v>50</v>
      </c>
      <c r="B305" s="4">
        <v>0</v>
      </c>
      <c r="C305" s="4">
        <v>0</v>
      </c>
      <c r="D305" s="4">
        <v>1</v>
      </c>
      <c r="E305" s="4">
        <v>210</v>
      </c>
      <c r="F305" s="4">
        <f>ROUND(Source!X279,O305)</f>
        <v>18661.43</v>
      </c>
      <c r="G305" s="4" t="s">
        <v>134</v>
      </c>
      <c r="H305" s="4" t="s">
        <v>135</v>
      </c>
      <c r="I305" s="4"/>
      <c r="J305" s="4"/>
      <c r="K305" s="4">
        <v>210</v>
      </c>
      <c r="L305" s="4">
        <v>25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18661.43</v>
      </c>
      <c r="X305" s="4">
        <v>1</v>
      </c>
      <c r="Y305" s="4">
        <v>18661.43</v>
      </c>
      <c r="Z305" s="4"/>
      <c r="AA305" s="4"/>
      <c r="AB305" s="4"/>
    </row>
    <row r="306" spans="1:245" x14ac:dyDescent="0.2">
      <c r="A306" s="4">
        <v>50</v>
      </c>
      <c r="B306" s="4">
        <v>0</v>
      </c>
      <c r="C306" s="4">
        <v>0</v>
      </c>
      <c r="D306" s="4">
        <v>1</v>
      </c>
      <c r="E306" s="4">
        <v>211</v>
      </c>
      <c r="F306" s="4">
        <f>ROUND(Source!Y279,O306)</f>
        <v>2665.92</v>
      </c>
      <c r="G306" s="4" t="s">
        <v>136</v>
      </c>
      <c r="H306" s="4" t="s">
        <v>137</v>
      </c>
      <c r="I306" s="4"/>
      <c r="J306" s="4"/>
      <c r="K306" s="4">
        <v>211</v>
      </c>
      <c r="L306" s="4">
        <v>26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2665.92</v>
      </c>
      <c r="X306" s="4">
        <v>1</v>
      </c>
      <c r="Y306" s="4">
        <v>2665.92</v>
      </c>
      <c r="Z306" s="4"/>
      <c r="AA306" s="4"/>
      <c r="AB306" s="4"/>
    </row>
    <row r="307" spans="1:245" x14ac:dyDescent="0.2">
      <c r="A307" s="4">
        <v>50</v>
      </c>
      <c r="B307" s="4">
        <v>0</v>
      </c>
      <c r="C307" s="4">
        <v>0</v>
      </c>
      <c r="D307" s="4">
        <v>1</v>
      </c>
      <c r="E307" s="4">
        <v>224</v>
      </c>
      <c r="F307" s="4">
        <f>ROUND(Source!AR279,O307)</f>
        <v>84299.17</v>
      </c>
      <c r="G307" s="4" t="s">
        <v>138</v>
      </c>
      <c r="H307" s="4" t="s">
        <v>139</v>
      </c>
      <c r="I307" s="4"/>
      <c r="J307" s="4"/>
      <c r="K307" s="4">
        <v>224</v>
      </c>
      <c r="L307" s="4">
        <v>27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84299.17</v>
      </c>
      <c r="X307" s="4">
        <v>1</v>
      </c>
      <c r="Y307" s="4">
        <v>84299.17</v>
      </c>
      <c r="Z307" s="4"/>
      <c r="AA307" s="4"/>
      <c r="AB307" s="4"/>
    </row>
    <row r="309" spans="1:245" x14ac:dyDescent="0.2">
      <c r="A309" s="1">
        <v>5</v>
      </c>
      <c r="B309" s="1">
        <v>1</v>
      </c>
      <c r="C309" s="1"/>
      <c r="D309" s="1">
        <f>ROW(A339)</f>
        <v>339</v>
      </c>
      <c r="E309" s="1"/>
      <c r="F309" s="1" t="s">
        <v>14</v>
      </c>
      <c r="G309" s="1" t="s">
        <v>259</v>
      </c>
      <c r="H309" s="1" t="s">
        <v>3</v>
      </c>
      <c r="I309" s="1">
        <v>0</v>
      </c>
      <c r="J309" s="1"/>
      <c r="K309" s="1">
        <v>-1</v>
      </c>
      <c r="L309" s="1"/>
      <c r="M309" s="1" t="s">
        <v>3</v>
      </c>
      <c r="N309" s="1"/>
      <c r="O309" s="1"/>
      <c r="P309" s="1"/>
      <c r="Q309" s="1"/>
      <c r="R309" s="1"/>
      <c r="S309" s="1">
        <v>0</v>
      </c>
      <c r="T309" s="1"/>
      <c r="U309" s="1" t="s">
        <v>3</v>
      </c>
      <c r="V309" s="1">
        <v>0</v>
      </c>
      <c r="W309" s="1"/>
      <c r="X309" s="1"/>
      <c r="Y309" s="1"/>
      <c r="Z309" s="1"/>
      <c r="AA309" s="1"/>
      <c r="AB309" s="1" t="s">
        <v>3</v>
      </c>
      <c r="AC309" s="1" t="s">
        <v>3</v>
      </c>
      <c r="AD309" s="1" t="s">
        <v>3</v>
      </c>
      <c r="AE309" s="1" t="s">
        <v>3</v>
      </c>
      <c r="AF309" s="1" t="s">
        <v>3</v>
      </c>
      <c r="AG309" s="1" t="s">
        <v>3</v>
      </c>
      <c r="AH309" s="1"/>
      <c r="AI309" s="1"/>
      <c r="AJ309" s="1"/>
      <c r="AK309" s="1"/>
      <c r="AL309" s="1"/>
      <c r="AM309" s="1"/>
      <c r="AN309" s="1"/>
      <c r="AO309" s="1"/>
      <c r="AP309" s="1" t="s">
        <v>3</v>
      </c>
      <c r="AQ309" s="1" t="s">
        <v>3</v>
      </c>
      <c r="AR309" s="1" t="s">
        <v>3</v>
      </c>
      <c r="AS309" s="1"/>
      <c r="AT309" s="1"/>
      <c r="AU309" s="1"/>
      <c r="AV309" s="1"/>
      <c r="AW309" s="1"/>
      <c r="AX309" s="1"/>
      <c r="AY309" s="1"/>
      <c r="AZ309" s="1" t="s">
        <v>3</v>
      </c>
      <c r="BA309" s="1"/>
      <c r="BB309" s="1" t="s">
        <v>3</v>
      </c>
      <c r="BC309" s="1" t="s">
        <v>3</v>
      </c>
      <c r="BD309" s="1" t="s">
        <v>3</v>
      </c>
      <c r="BE309" s="1" t="s">
        <v>3</v>
      </c>
      <c r="BF309" s="1" t="s">
        <v>3</v>
      </c>
      <c r="BG309" s="1" t="s">
        <v>3</v>
      </c>
      <c r="BH309" s="1" t="s">
        <v>3</v>
      </c>
      <c r="BI309" s="1" t="s">
        <v>3</v>
      </c>
      <c r="BJ309" s="1" t="s">
        <v>3</v>
      </c>
      <c r="BK309" s="1" t="s">
        <v>3</v>
      </c>
      <c r="BL309" s="1" t="s">
        <v>3</v>
      </c>
      <c r="BM309" s="1" t="s">
        <v>3</v>
      </c>
      <c r="BN309" s="1" t="s">
        <v>3</v>
      </c>
      <c r="BO309" s="1" t="s">
        <v>3</v>
      </c>
      <c r="BP309" s="1" t="s">
        <v>3</v>
      </c>
      <c r="BQ309" s="1"/>
      <c r="BR309" s="1"/>
      <c r="BS309" s="1"/>
      <c r="BT309" s="1"/>
      <c r="BU309" s="1"/>
      <c r="BV309" s="1"/>
      <c r="BW309" s="1"/>
      <c r="BX309" s="1">
        <v>0</v>
      </c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>
        <v>0</v>
      </c>
    </row>
    <row r="311" spans="1:245" x14ac:dyDescent="0.2">
      <c r="A311" s="2">
        <v>52</v>
      </c>
      <c r="B311" s="2">
        <f t="shared" ref="B311:G311" si="251">B339</f>
        <v>1</v>
      </c>
      <c r="C311" s="2">
        <f t="shared" si="251"/>
        <v>5</v>
      </c>
      <c r="D311" s="2">
        <f t="shared" si="251"/>
        <v>309</v>
      </c>
      <c r="E311" s="2">
        <f t="shared" si="251"/>
        <v>0</v>
      </c>
      <c r="F311" s="2" t="str">
        <f t="shared" si="251"/>
        <v>Новый подраздел</v>
      </c>
      <c r="G311" s="2" t="str">
        <f t="shared" si="251"/>
        <v>Электрооборудование</v>
      </c>
      <c r="H311" s="2"/>
      <c r="I311" s="2"/>
      <c r="J311" s="2"/>
      <c r="K311" s="2"/>
      <c r="L311" s="2"/>
      <c r="M311" s="2"/>
      <c r="N311" s="2"/>
      <c r="O311" s="2">
        <f t="shared" ref="O311:AT311" si="252">O339</f>
        <v>86867.39</v>
      </c>
      <c r="P311" s="2">
        <f t="shared" si="252"/>
        <v>938.15</v>
      </c>
      <c r="Q311" s="2">
        <f t="shared" si="252"/>
        <v>153.4</v>
      </c>
      <c r="R311" s="2">
        <f t="shared" si="252"/>
        <v>92.63</v>
      </c>
      <c r="S311" s="2">
        <f t="shared" si="252"/>
        <v>85775.84</v>
      </c>
      <c r="T311" s="2">
        <f t="shared" si="252"/>
        <v>0</v>
      </c>
      <c r="U311" s="2">
        <f t="shared" si="252"/>
        <v>141.77600000000001</v>
      </c>
      <c r="V311" s="2">
        <f t="shared" si="252"/>
        <v>0</v>
      </c>
      <c r="W311" s="2">
        <f t="shared" si="252"/>
        <v>0</v>
      </c>
      <c r="X311" s="2">
        <f t="shared" si="252"/>
        <v>60043.1</v>
      </c>
      <c r="Y311" s="2">
        <f t="shared" si="252"/>
        <v>8577.59</v>
      </c>
      <c r="Z311" s="2">
        <f t="shared" si="252"/>
        <v>0</v>
      </c>
      <c r="AA311" s="2">
        <f t="shared" si="252"/>
        <v>0</v>
      </c>
      <c r="AB311" s="2">
        <f t="shared" si="252"/>
        <v>86867.39</v>
      </c>
      <c r="AC311" s="2">
        <f t="shared" si="252"/>
        <v>938.15</v>
      </c>
      <c r="AD311" s="2">
        <f t="shared" si="252"/>
        <v>153.4</v>
      </c>
      <c r="AE311" s="2">
        <f t="shared" si="252"/>
        <v>92.63</v>
      </c>
      <c r="AF311" s="2">
        <f t="shared" si="252"/>
        <v>85775.84</v>
      </c>
      <c r="AG311" s="2">
        <f t="shared" si="252"/>
        <v>0</v>
      </c>
      <c r="AH311" s="2">
        <f t="shared" si="252"/>
        <v>141.77600000000001</v>
      </c>
      <c r="AI311" s="2">
        <f t="shared" si="252"/>
        <v>0</v>
      </c>
      <c r="AJ311" s="2">
        <f t="shared" si="252"/>
        <v>0</v>
      </c>
      <c r="AK311" s="2">
        <f t="shared" si="252"/>
        <v>60043.1</v>
      </c>
      <c r="AL311" s="2">
        <f t="shared" si="252"/>
        <v>8577.59</v>
      </c>
      <c r="AM311" s="2">
        <f t="shared" si="252"/>
        <v>0</v>
      </c>
      <c r="AN311" s="2">
        <f t="shared" si="252"/>
        <v>0</v>
      </c>
      <c r="AO311" s="2">
        <f t="shared" si="252"/>
        <v>0</v>
      </c>
      <c r="AP311" s="2">
        <f t="shared" si="252"/>
        <v>0</v>
      </c>
      <c r="AQ311" s="2">
        <f t="shared" si="252"/>
        <v>0</v>
      </c>
      <c r="AR311" s="2">
        <f t="shared" si="252"/>
        <v>155588.10999999999</v>
      </c>
      <c r="AS311" s="2">
        <f t="shared" si="252"/>
        <v>0</v>
      </c>
      <c r="AT311" s="2">
        <f t="shared" si="252"/>
        <v>0</v>
      </c>
      <c r="AU311" s="2">
        <f t="shared" ref="AU311:BZ311" si="253">AU339</f>
        <v>155588.10999999999</v>
      </c>
      <c r="AV311" s="2">
        <f t="shared" si="253"/>
        <v>938.15</v>
      </c>
      <c r="AW311" s="2">
        <f t="shared" si="253"/>
        <v>938.15</v>
      </c>
      <c r="AX311" s="2">
        <f t="shared" si="253"/>
        <v>0</v>
      </c>
      <c r="AY311" s="2">
        <f t="shared" si="253"/>
        <v>938.15</v>
      </c>
      <c r="AZ311" s="2">
        <f t="shared" si="253"/>
        <v>0</v>
      </c>
      <c r="BA311" s="2">
        <f t="shared" si="253"/>
        <v>0</v>
      </c>
      <c r="BB311" s="2">
        <f t="shared" si="253"/>
        <v>0</v>
      </c>
      <c r="BC311" s="2">
        <f t="shared" si="253"/>
        <v>0</v>
      </c>
      <c r="BD311" s="2">
        <f t="shared" si="253"/>
        <v>0</v>
      </c>
      <c r="BE311" s="2">
        <f t="shared" si="253"/>
        <v>0</v>
      </c>
      <c r="BF311" s="2">
        <f t="shared" si="253"/>
        <v>0</v>
      </c>
      <c r="BG311" s="2">
        <f t="shared" si="253"/>
        <v>0</v>
      </c>
      <c r="BH311" s="2">
        <f t="shared" si="253"/>
        <v>0</v>
      </c>
      <c r="BI311" s="2">
        <f t="shared" si="253"/>
        <v>0</v>
      </c>
      <c r="BJ311" s="2">
        <f t="shared" si="253"/>
        <v>0</v>
      </c>
      <c r="BK311" s="2">
        <f t="shared" si="253"/>
        <v>0</v>
      </c>
      <c r="BL311" s="2">
        <f t="shared" si="253"/>
        <v>0</v>
      </c>
      <c r="BM311" s="2">
        <f t="shared" si="253"/>
        <v>0</v>
      </c>
      <c r="BN311" s="2">
        <f t="shared" si="253"/>
        <v>0</v>
      </c>
      <c r="BO311" s="2">
        <f t="shared" si="253"/>
        <v>0</v>
      </c>
      <c r="BP311" s="2">
        <f t="shared" si="253"/>
        <v>0</v>
      </c>
      <c r="BQ311" s="2">
        <f t="shared" si="253"/>
        <v>0</v>
      </c>
      <c r="BR311" s="2">
        <f t="shared" si="253"/>
        <v>0</v>
      </c>
      <c r="BS311" s="2">
        <f t="shared" si="253"/>
        <v>0</v>
      </c>
      <c r="BT311" s="2">
        <f t="shared" si="253"/>
        <v>0</v>
      </c>
      <c r="BU311" s="2">
        <f t="shared" si="253"/>
        <v>0</v>
      </c>
      <c r="BV311" s="2">
        <f t="shared" si="253"/>
        <v>0</v>
      </c>
      <c r="BW311" s="2">
        <f t="shared" si="253"/>
        <v>0</v>
      </c>
      <c r="BX311" s="2">
        <f t="shared" si="253"/>
        <v>0</v>
      </c>
      <c r="BY311" s="2">
        <f t="shared" si="253"/>
        <v>0</v>
      </c>
      <c r="BZ311" s="2">
        <f t="shared" si="253"/>
        <v>0</v>
      </c>
      <c r="CA311" s="2">
        <f t="shared" ref="CA311:DF311" si="254">CA339</f>
        <v>155588.10999999999</v>
      </c>
      <c r="CB311" s="2">
        <f t="shared" si="254"/>
        <v>0</v>
      </c>
      <c r="CC311" s="2">
        <f t="shared" si="254"/>
        <v>0</v>
      </c>
      <c r="CD311" s="2">
        <f t="shared" si="254"/>
        <v>155588.10999999999</v>
      </c>
      <c r="CE311" s="2">
        <f t="shared" si="254"/>
        <v>938.15</v>
      </c>
      <c r="CF311" s="2">
        <f t="shared" si="254"/>
        <v>938.15</v>
      </c>
      <c r="CG311" s="2">
        <f t="shared" si="254"/>
        <v>0</v>
      </c>
      <c r="CH311" s="2">
        <f t="shared" si="254"/>
        <v>938.15</v>
      </c>
      <c r="CI311" s="2">
        <f t="shared" si="254"/>
        <v>0</v>
      </c>
      <c r="CJ311" s="2">
        <f t="shared" si="254"/>
        <v>0</v>
      </c>
      <c r="CK311" s="2">
        <f t="shared" si="254"/>
        <v>0</v>
      </c>
      <c r="CL311" s="2">
        <f t="shared" si="254"/>
        <v>0</v>
      </c>
      <c r="CM311" s="2">
        <f t="shared" si="254"/>
        <v>0</v>
      </c>
      <c r="CN311" s="2">
        <f t="shared" si="254"/>
        <v>0</v>
      </c>
      <c r="CO311" s="2">
        <f t="shared" si="254"/>
        <v>0</v>
      </c>
      <c r="CP311" s="2">
        <f t="shared" si="254"/>
        <v>0</v>
      </c>
      <c r="CQ311" s="2">
        <f t="shared" si="254"/>
        <v>0</v>
      </c>
      <c r="CR311" s="2">
        <f t="shared" si="254"/>
        <v>0</v>
      </c>
      <c r="CS311" s="2">
        <f t="shared" si="254"/>
        <v>0</v>
      </c>
      <c r="CT311" s="2">
        <f t="shared" si="254"/>
        <v>0</v>
      </c>
      <c r="CU311" s="2">
        <f t="shared" si="254"/>
        <v>0</v>
      </c>
      <c r="CV311" s="2">
        <f t="shared" si="254"/>
        <v>0</v>
      </c>
      <c r="CW311" s="2">
        <f t="shared" si="254"/>
        <v>0</v>
      </c>
      <c r="CX311" s="2">
        <f t="shared" si="254"/>
        <v>0</v>
      </c>
      <c r="CY311" s="2">
        <f t="shared" si="254"/>
        <v>0</v>
      </c>
      <c r="CZ311" s="2">
        <f t="shared" si="254"/>
        <v>0</v>
      </c>
      <c r="DA311" s="2">
        <f t="shared" si="254"/>
        <v>0</v>
      </c>
      <c r="DB311" s="2">
        <f t="shared" si="254"/>
        <v>0</v>
      </c>
      <c r="DC311" s="2">
        <f t="shared" si="254"/>
        <v>0</v>
      </c>
      <c r="DD311" s="2">
        <f t="shared" si="254"/>
        <v>0</v>
      </c>
      <c r="DE311" s="2">
        <f t="shared" si="254"/>
        <v>0</v>
      </c>
      <c r="DF311" s="2">
        <f t="shared" si="254"/>
        <v>0</v>
      </c>
      <c r="DG311" s="3">
        <f t="shared" ref="DG311:EL311" si="255">DG339</f>
        <v>0</v>
      </c>
      <c r="DH311" s="3">
        <f t="shared" si="255"/>
        <v>0</v>
      </c>
      <c r="DI311" s="3">
        <f t="shared" si="255"/>
        <v>0</v>
      </c>
      <c r="DJ311" s="3">
        <f t="shared" si="255"/>
        <v>0</v>
      </c>
      <c r="DK311" s="3">
        <f t="shared" si="255"/>
        <v>0</v>
      </c>
      <c r="DL311" s="3">
        <f t="shared" si="255"/>
        <v>0</v>
      </c>
      <c r="DM311" s="3">
        <f t="shared" si="255"/>
        <v>0</v>
      </c>
      <c r="DN311" s="3">
        <f t="shared" si="255"/>
        <v>0</v>
      </c>
      <c r="DO311" s="3">
        <f t="shared" si="255"/>
        <v>0</v>
      </c>
      <c r="DP311" s="3">
        <f t="shared" si="255"/>
        <v>0</v>
      </c>
      <c r="DQ311" s="3">
        <f t="shared" si="255"/>
        <v>0</v>
      </c>
      <c r="DR311" s="3">
        <f t="shared" si="255"/>
        <v>0</v>
      </c>
      <c r="DS311" s="3">
        <f t="shared" si="255"/>
        <v>0</v>
      </c>
      <c r="DT311" s="3">
        <f t="shared" si="255"/>
        <v>0</v>
      </c>
      <c r="DU311" s="3">
        <f t="shared" si="255"/>
        <v>0</v>
      </c>
      <c r="DV311" s="3">
        <f t="shared" si="255"/>
        <v>0</v>
      </c>
      <c r="DW311" s="3">
        <f t="shared" si="255"/>
        <v>0</v>
      </c>
      <c r="DX311" s="3">
        <f t="shared" si="255"/>
        <v>0</v>
      </c>
      <c r="DY311" s="3">
        <f t="shared" si="255"/>
        <v>0</v>
      </c>
      <c r="DZ311" s="3">
        <f t="shared" si="255"/>
        <v>0</v>
      </c>
      <c r="EA311" s="3">
        <f t="shared" si="255"/>
        <v>0</v>
      </c>
      <c r="EB311" s="3">
        <f t="shared" si="255"/>
        <v>0</v>
      </c>
      <c r="EC311" s="3">
        <f t="shared" si="255"/>
        <v>0</v>
      </c>
      <c r="ED311" s="3">
        <f t="shared" si="255"/>
        <v>0</v>
      </c>
      <c r="EE311" s="3">
        <f t="shared" si="255"/>
        <v>0</v>
      </c>
      <c r="EF311" s="3">
        <f t="shared" si="255"/>
        <v>0</v>
      </c>
      <c r="EG311" s="3">
        <f t="shared" si="255"/>
        <v>0</v>
      </c>
      <c r="EH311" s="3">
        <f t="shared" si="255"/>
        <v>0</v>
      </c>
      <c r="EI311" s="3">
        <f t="shared" si="255"/>
        <v>0</v>
      </c>
      <c r="EJ311" s="3">
        <f t="shared" si="255"/>
        <v>0</v>
      </c>
      <c r="EK311" s="3">
        <f t="shared" si="255"/>
        <v>0</v>
      </c>
      <c r="EL311" s="3">
        <f t="shared" si="255"/>
        <v>0</v>
      </c>
      <c r="EM311" s="3">
        <f t="shared" ref="EM311:FR311" si="256">EM339</f>
        <v>0</v>
      </c>
      <c r="EN311" s="3">
        <f t="shared" si="256"/>
        <v>0</v>
      </c>
      <c r="EO311" s="3">
        <f t="shared" si="256"/>
        <v>0</v>
      </c>
      <c r="EP311" s="3">
        <f t="shared" si="256"/>
        <v>0</v>
      </c>
      <c r="EQ311" s="3">
        <f t="shared" si="256"/>
        <v>0</v>
      </c>
      <c r="ER311" s="3">
        <f t="shared" si="256"/>
        <v>0</v>
      </c>
      <c r="ES311" s="3">
        <f t="shared" si="256"/>
        <v>0</v>
      </c>
      <c r="ET311" s="3">
        <f t="shared" si="256"/>
        <v>0</v>
      </c>
      <c r="EU311" s="3">
        <f t="shared" si="256"/>
        <v>0</v>
      </c>
      <c r="EV311" s="3">
        <f t="shared" si="256"/>
        <v>0</v>
      </c>
      <c r="EW311" s="3">
        <f t="shared" si="256"/>
        <v>0</v>
      </c>
      <c r="EX311" s="3">
        <f t="shared" si="256"/>
        <v>0</v>
      </c>
      <c r="EY311" s="3">
        <f t="shared" si="256"/>
        <v>0</v>
      </c>
      <c r="EZ311" s="3">
        <f t="shared" si="256"/>
        <v>0</v>
      </c>
      <c r="FA311" s="3">
        <f t="shared" si="256"/>
        <v>0</v>
      </c>
      <c r="FB311" s="3">
        <f t="shared" si="256"/>
        <v>0</v>
      </c>
      <c r="FC311" s="3">
        <f t="shared" si="256"/>
        <v>0</v>
      </c>
      <c r="FD311" s="3">
        <f t="shared" si="256"/>
        <v>0</v>
      </c>
      <c r="FE311" s="3">
        <f t="shared" si="256"/>
        <v>0</v>
      </c>
      <c r="FF311" s="3">
        <f t="shared" si="256"/>
        <v>0</v>
      </c>
      <c r="FG311" s="3">
        <f t="shared" si="256"/>
        <v>0</v>
      </c>
      <c r="FH311" s="3">
        <f t="shared" si="256"/>
        <v>0</v>
      </c>
      <c r="FI311" s="3">
        <f t="shared" si="256"/>
        <v>0</v>
      </c>
      <c r="FJ311" s="3">
        <f t="shared" si="256"/>
        <v>0</v>
      </c>
      <c r="FK311" s="3">
        <f t="shared" si="256"/>
        <v>0</v>
      </c>
      <c r="FL311" s="3">
        <f t="shared" si="256"/>
        <v>0</v>
      </c>
      <c r="FM311" s="3">
        <f t="shared" si="256"/>
        <v>0</v>
      </c>
      <c r="FN311" s="3">
        <f t="shared" si="256"/>
        <v>0</v>
      </c>
      <c r="FO311" s="3">
        <f t="shared" si="256"/>
        <v>0</v>
      </c>
      <c r="FP311" s="3">
        <f t="shared" si="256"/>
        <v>0</v>
      </c>
      <c r="FQ311" s="3">
        <f t="shared" si="256"/>
        <v>0</v>
      </c>
      <c r="FR311" s="3">
        <f t="shared" si="256"/>
        <v>0</v>
      </c>
      <c r="FS311" s="3">
        <f t="shared" ref="FS311:GX311" si="257">FS339</f>
        <v>0</v>
      </c>
      <c r="FT311" s="3">
        <f t="shared" si="257"/>
        <v>0</v>
      </c>
      <c r="FU311" s="3">
        <f t="shared" si="257"/>
        <v>0</v>
      </c>
      <c r="FV311" s="3">
        <f t="shared" si="257"/>
        <v>0</v>
      </c>
      <c r="FW311" s="3">
        <f t="shared" si="257"/>
        <v>0</v>
      </c>
      <c r="FX311" s="3">
        <f t="shared" si="257"/>
        <v>0</v>
      </c>
      <c r="FY311" s="3">
        <f t="shared" si="257"/>
        <v>0</v>
      </c>
      <c r="FZ311" s="3">
        <f t="shared" si="257"/>
        <v>0</v>
      </c>
      <c r="GA311" s="3">
        <f t="shared" si="257"/>
        <v>0</v>
      </c>
      <c r="GB311" s="3">
        <f t="shared" si="257"/>
        <v>0</v>
      </c>
      <c r="GC311" s="3">
        <f t="shared" si="257"/>
        <v>0</v>
      </c>
      <c r="GD311" s="3">
        <f t="shared" si="257"/>
        <v>0</v>
      </c>
      <c r="GE311" s="3">
        <f t="shared" si="257"/>
        <v>0</v>
      </c>
      <c r="GF311" s="3">
        <f t="shared" si="257"/>
        <v>0</v>
      </c>
      <c r="GG311" s="3">
        <f t="shared" si="257"/>
        <v>0</v>
      </c>
      <c r="GH311" s="3">
        <f t="shared" si="257"/>
        <v>0</v>
      </c>
      <c r="GI311" s="3">
        <f t="shared" si="257"/>
        <v>0</v>
      </c>
      <c r="GJ311" s="3">
        <f t="shared" si="257"/>
        <v>0</v>
      </c>
      <c r="GK311" s="3">
        <f t="shared" si="257"/>
        <v>0</v>
      </c>
      <c r="GL311" s="3">
        <f t="shared" si="257"/>
        <v>0</v>
      </c>
      <c r="GM311" s="3">
        <f t="shared" si="257"/>
        <v>0</v>
      </c>
      <c r="GN311" s="3">
        <f t="shared" si="257"/>
        <v>0</v>
      </c>
      <c r="GO311" s="3">
        <f t="shared" si="257"/>
        <v>0</v>
      </c>
      <c r="GP311" s="3">
        <f t="shared" si="257"/>
        <v>0</v>
      </c>
      <c r="GQ311" s="3">
        <f t="shared" si="257"/>
        <v>0</v>
      </c>
      <c r="GR311" s="3">
        <f t="shared" si="257"/>
        <v>0</v>
      </c>
      <c r="GS311" s="3">
        <f t="shared" si="257"/>
        <v>0</v>
      </c>
      <c r="GT311" s="3">
        <f t="shared" si="257"/>
        <v>0</v>
      </c>
      <c r="GU311" s="3">
        <f t="shared" si="257"/>
        <v>0</v>
      </c>
      <c r="GV311" s="3">
        <f t="shared" si="257"/>
        <v>0</v>
      </c>
      <c r="GW311" s="3">
        <f t="shared" si="257"/>
        <v>0</v>
      </c>
      <c r="GX311" s="3">
        <f t="shared" si="257"/>
        <v>0</v>
      </c>
    </row>
    <row r="313" spans="1:245" x14ac:dyDescent="0.2">
      <c r="A313">
        <v>17</v>
      </c>
      <c r="B313">
        <v>1</v>
      </c>
      <c r="D313">
        <f>ROW(EtalonRes!A167)</f>
        <v>167</v>
      </c>
      <c r="E313" t="s">
        <v>260</v>
      </c>
      <c r="F313" t="s">
        <v>169</v>
      </c>
      <c r="G313" t="s">
        <v>170</v>
      </c>
      <c r="H313" t="s">
        <v>39</v>
      </c>
      <c r="I313">
        <v>4</v>
      </c>
      <c r="J313">
        <v>0</v>
      </c>
      <c r="K313">
        <v>4</v>
      </c>
      <c r="O313">
        <f t="shared" ref="O313:O337" si="258">ROUND(CP313,2)</f>
        <v>60101.16</v>
      </c>
      <c r="P313">
        <f t="shared" ref="P313:P337" si="259">ROUND(CQ313*I313,2)</f>
        <v>822.12</v>
      </c>
      <c r="Q313">
        <f t="shared" ref="Q313:Q337" si="260">ROUND(CR313*I313,2)</f>
        <v>0</v>
      </c>
      <c r="R313">
        <f t="shared" ref="R313:R337" si="261">ROUND(CS313*I313,2)</f>
        <v>0</v>
      </c>
      <c r="S313">
        <f t="shared" ref="S313:S337" si="262">ROUND(CT313*I313,2)</f>
        <v>59279.040000000001</v>
      </c>
      <c r="T313">
        <f t="shared" ref="T313:T337" si="263">ROUND(CU313*I313,2)</f>
        <v>0</v>
      </c>
      <c r="U313">
        <f t="shared" ref="U313:U337" si="264">CV313*I313</f>
        <v>96</v>
      </c>
      <c r="V313">
        <f t="shared" ref="V313:V337" si="265">CW313*I313</f>
        <v>0</v>
      </c>
      <c r="W313">
        <f t="shared" ref="W313:W337" si="266">ROUND(CX313*I313,2)</f>
        <v>0</v>
      </c>
      <c r="X313">
        <f t="shared" ref="X313:X337" si="267">ROUND(CY313,2)</f>
        <v>41495.33</v>
      </c>
      <c r="Y313">
        <f t="shared" ref="Y313:Y337" si="268">ROUND(CZ313,2)</f>
        <v>5927.9</v>
      </c>
      <c r="AA313">
        <v>1471531721</v>
      </c>
      <c r="AB313">
        <f t="shared" ref="AB313:AB337" si="269">ROUND((AC313+AD313+AF313),6)</f>
        <v>15025.29</v>
      </c>
      <c r="AC313">
        <f>ROUND((ES313),6)</f>
        <v>205.53</v>
      </c>
      <c r="AD313">
        <f>ROUND((((ET313)-(EU313))+AE313),6)</f>
        <v>0</v>
      </c>
      <c r="AE313">
        <f>ROUND((EU313),6)</f>
        <v>0</v>
      </c>
      <c r="AF313">
        <f>ROUND((EV313),6)</f>
        <v>14819.76</v>
      </c>
      <c r="AG313">
        <f t="shared" ref="AG313:AG337" si="270">ROUND((AP313),6)</f>
        <v>0</v>
      </c>
      <c r="AH313">
        <f>(EW313)</f>
        <v>24</v>
      </c>
      <c r="AI313">
        <f>(EX313)</f>
        <v>0</v>
      </c>
      <c r="AJ313">
        <f t="shared" ref="AJ313:AJ337" si="271">(AS313)</f>
        <v>0</v>
      </c>
      <c r="AK313">
        <v>15025.29</v>
      </c>
      <c r="AL313">
        <v>205.53</v>
      </c>
      <c r="AM313">
        <v>0</v>
      </c>
      <c r="AN313">
        <v>0</v>
      </c>
      <c r="AO313">
        <v>14819.76</v>
      </c>
      <c r="AP313">
        <v>0</v>
      </c>
      <c r="AQ313">
        <v>24</v>
      </c>
      <c r="AR313">
        <v>0</v>
      </c>
      <c r="AS313">
        <v>0</v>
      </c>
      <c r="AT313">
        <v>70</v>
      </c>
      <c r="AU313">
        <v>10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</v>
      </c>
      <c r="BD313" t="s">
        <v>3</v>
      </c>
      <c r="BE313" t="s">
        <v>3</v>
      </c>
      <c r="BF313" t="s">
        <v>3</v>
      </c>
      <c r="BG313" t="s">
        <v>3</v>
      </c>
      <c r="BH313">
        <v>0</v>
      </c>
      <c r="BI313">
        <v>4</v>
      </c>
      <c r="BJ313" t="s">
        <v>171</v>
      </c>
      <c r="BM313">
        <v>0</v>
      </c>
      <c r="BN313">
        <v>0</v>
      </c>
      <c r="BO313" t="s">
        <v>3</v>
      </c>
      <c r="BP313">
        <v>0</v>
      </c>
      <c r="BQ313">
        <v>1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70</v>
      </c>
      <c r="CA313">
        <v>10</v>
      </c>
      <c r="CB313" t="s">
        <v>3</v>
      </c>
      <c r="CE313">
        <v>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ref="CP313:CP337" si="272">(P313+Q313+S313)</f>
        <v>60101.16</v>
      </c>
      <c r="CQ313">
        <f t="shared" ref="CQ313:CQ337" si="273">(AC313*BC313*AW313)</f>
        <v>205.53</v>
      </c>
      <c r="CR313">
        <f>((((ET313)*BB313-(EU313)*BS313)+AE313*BS313)*AV313)</f>
        <v>0</v>
      </c>
      <c r="CS313">
        <f t="shared" ref="CS313:CS337" si="274">(AE313*BS313*AV313)</f>
        <v>0</v>
      </c>
      <c r="CT313">
        <f t="shared" ref="CT313:CT337" si="275">(AF313*BA313*AV313)</f>
        <v>14819.76</v>
      </c>
      <c r="CU313">
        <f t="shared" ref="CU313:CU337" si="276">AG313</f>
        <v>0</v>
      </c>
      <c r="CV313">
        <f t="shared" ref="CV313:CV337" si="277">(AH313*AV313)</f>
        <v>24</v>
      </c>
      <c r="CW313">
        <f t="shared" ref="CW313:CW337" si="278">AI313</f>
        <v>0</v>
      </c>
      <c r="CX313">
        <f t="shared" ref="CX313:CX337" si="279">AJ313</f>
        <v>0</v>
      </c>
      <c r="CY313">
        <f t="shared" ref="CY313:CY337" si="280">((S313*BZ313)/100)</f>
        <v>41495.328000000001</v>
      </c>
      <c r="CZ313">
        <f t="shared" ref="CZ313:CZ337" si="281">((S313*CA313)/100)</f>
        <v>5927.9040000000005</v>
      </c>
      <c r="DC313" t="s">
        <v>3</v>
      </c>
      <c r="DD313" t="s">
        <v>3</v>
      </c>
      <c r="DE313" t="s">
        <v>3</v>
      </c>
      <c r="DF313" t="s">
        <v>3</v>
      </c>
      <c r="DG313" t="s">
        <v>3</v>
      </c>
      <c r="DH313" t="s">
        <v>3</v>
      </c>
      <c r="DI313" t="s">
        <v>3</v>
      </c>
      <c r="DJ313" t="s">
        <v>3</v>
      </c>
      <c r="DK313" t="s">
        <v>3</v>
      </c>
      <c r="DL313" t="s">
        <v>3</v>
      </c>
      <c r="DM313" t="s">
        <v>3</v>
      </c>
      <c r="DN313">
        <v>0</v>
      </c>
      <c r="DO313">
        <v>0</v>
      </c>
      <c r="DP313">
        <v>1</v>
      </c>
      <c r="DQ313">
        <v>1</v>
      </c>
      <c r="DU313">
        <v>16987630</v>
      </c>
      <c r="DV313" t="s">
        <v>39</v>
      </c>
      <c r="DW313" t="s">
        <v>39</v>
      </c>
      <c r="DX313">
        <v>1</v>
      </c>
      <c r="DZ313" t="s">
        <v>3</v>
      </c>
      <c r="EA313" t="s">
        <v>3</v>
      </c>
      <c r="EB313" t="s">
        <v>3</v>
      </c>
      <c r="EC313" t="s">
        <v>3</v>
      </c>
      <c r="EE313">
        <v>1441815344</v>
      </c>
      <c r="EF313">
        <v>1</v>
      </c>
      <c r="EG313" t="s">
        <v>21</v>
      </c>
      <c r="EH313">
        <v>0</v>
      </c>
      <c r="EI313" t="s">
        <v>3</v>
      </c>
      <c r="EJ313">
        <v>4</v>
      </c>
      <c r="EK313">
        <v>0</v>
      </c>
      <c r="EL313" t="s">
        <v>22</v>
      </c>
      <c r="EM313" t="s">
        <v>23</v>
      </c>
      <c r="EO313" t="s">
        <v>3</v>
      </c>
      <c r="EQ313">
        <v>0</v>
      </c>
      <c r="ER313">
        <v>15025.29</v>
      </c>
      <c r="ES313">
        <v>205.53</v>
      </c>
      <c r="ET313">
        <v>0</v>
      </c>
      <c r="EU313">
        <v>0</v>
      </c>
      <c r="EV313">
        <v>14819.76</v>
      </c>
      <c r="EW313">
        <v>24</v>
      </c>
      <c r="EX313">
        <v>0</v>
      </c>
      <c r="EY313">
        <v>0</v>
      </c>
      <c r="FQ313">
        <v>0</v>
      </c>
      <c r="FR313">
        <f t="shared" ref="FR313:FR337" si="282">ROUND(IF(BI313=3,GM313,0),2)</f>
        <v>0</v>
      </c>
      <c r="FS313">
        <v>0</v>
      </c>
      <c r="FX313">
        <v>70</v>
      </c>
      <c r="FY313">
        <v>10</v>
      </c>
      <c r="GA313" t="s">
        <v>3</v>
      </c>
      <c r="GD313">
        <v>0</v>
      </c>
      <c r="GF313">
        <v>1432440124</v>
      </c>
      <c r="GG313">
        <v>2</v>
      </c>
      <c r="GH313">
        <v>1</v>
      </c>
      <c r="GI313">
        <v>-2</v>
      </c>
      <c r="GJ313">
        <v>0</v>
      </c>
      <c r="GK313">
        <f>ROUND(R313*(R12)/100,2)</f>
        <v>0</v>
      </c>
      <c r="GL313">
        <f t="shared" ref="GL313:GL337" si="283">ROUND(IF(AND(BH313=3,BI313=3,FS313&lt;&gt;0),P313,0),2)</f>
        <v>0</v>
      </c>
      <c r="GM313">
        <f t="shared" ref="GM313:GM337" si="284">ROUND(O313+X313+Y313+GK313,2)+GX313</f>
        <v>107524.39</v>
      </c>
      <c r="GN313">
        <f t="shared" ref="GN313:GN337" si="285">IF(OR(BI313=0,BI313=1),GM313-GX313,0)</f>
        <v>0</v>
      </c>
      <c r="GO313">
        <f t="shared" ref="GO313:GO337" si="286">IF(BI313=2,GM313-GX313,0)</f>
        <v>0</v>
      </c>
      <c r="GP313">
        <f t="shared" ref="GP313:GP337" si="287">IF(BI313=4,GM313-GX313,0)</f>
        <v>107524.39</v>
      </c>
      <c r="GR313">
        <v>0</v>
      </c>
      <c r="GS313">
        <v>3</v>
      </c>
      <c r="GT313">
        <v>0</v>
      </c>
      <c r="GU313" t="s">
        <v>3</v>
      </c>
      <c r="GV313">
        <f t="shared" ref="GV313:GV337" si="288">ROUND((GT313),6)</f>
        <v>0</v>
      </c>
      <c r="GW313">
        <v>1</v>
      </c>
      <c r="GX313">
        <f t="shared" ref="GX313:GX337" si="289">ROUND(HC313*I313,2)</f>
        <v>0</v>
      </c>
      <c r="HA313">
        <v>0</v>
      </c>
      <c r="HB313">
        <v>0</v>
      </c>
      <c r="HC313">
        <f t="shared" ref="HC313:HC337" si="290">GV313*GW313</f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17</v>
      </c>
      <c r="B314">
        <v>1</v>
      </c>
      <c r="D314">
        <f>ROW(EtalonRes!A169)</f>
        <v>169</v>
      </c>
      <c r="E314" t="s">
        <v>3</v>
      </c>
      <c r="F314" t="s">
        <v>172</v>
      </c>
      <c r="G314" t="s">
        <v>173</v>
      </c>
      <c r="H314" t="s">
        <v>39</v>
      </c>
      <c r="I314">
        <v>4</v>
      </c>
      <c r="J314">
        <v>0</v>
      </c>
      <c r="K314">
        <v>4</v>
      </c>
      <c r="O314">
        <f t="shared" si="258"/>
        <v>5936.76</v>
      </c>
      <c r="P314">
        <f t="shared" si="259"/>
        <v>8.8800000000000008</v>
      </c>
      <c r="Q314">
        <f t="shared" si="260"/>
        <v>0</v>
      </c>
      <c r="R314">
        <f t="shared" si="261"/>
        <v>0</v>
      </c>
      <c r="S314">
        <f t="shared" si="262"/>
        <v>5927.88</v>
      </c>
      <c r="T314">
        <f t="shared" si="263"/>
        <v>0</v>
      </c>
      <c r="U314">
        <f t="shared" si="264"/>
        <v>9.6000000000000014</v>
      </c>
      <c r="V314">
        <f t="shared" si="265"/>
        <v>0</v>
      </c>
      <c r="W314">
        <f t="shared" si="266"/>
        <v>0</v>
      </c>
      <c r="X314">
        <f t="shared" si="267"/>
        <v>4149.5200000000004</v>
      </c>
      <c r="Y314">
        <f t="shared" si="268"/>
        <v>592.79</v>
      </c>
      <c r="AA314">
        <v>-1</v>
      </c>
      <c r="AB314">
        <f t="shared" si="269"/>
        <v>1484.19</v>
      </c>
      <c r="AC314">
        <f>ROUND(((ES314*3)),6)</f>
        <v>2.2200000000000002</v>
      </c>
      <c r="AD314">
        <f>ROUND(((((ET314*3))-((EU314*3)))+AE314),6)</f>
        <v>0</v>
      </c>
      <c r="AE314">
        <f>ROUND(((EU314*3)),6)</f>
        <v>0</v>
      </c>
      <c r="AF314">
        <f>ROUND(((EV314*3)),6)</f>
        <v>1481.97</v>
      </c>
      <c r="AG314">
        <f t="shared" si="270"/>
        <v>0</v>
      </c>
      <c r="AH314">
        <f>((EW314*3))</f>
        <v>2.4000000000000004</v>
      </c>
      <c r="AI314">
        <f>((EX314*3))</f>
        <v>0</v>
      </c>
      <c r="AJ314">
        <f t="shared" si="271"/>
        <v>0</v>
      </c>
      <c r="AK314">
        <v>494.73</v>
      </c>
      <c r="AL314">
        <v>0.74</v>
      </c>
      <c r="AM314">
        <v>0</v>
      </c>
      <c r="AN314">
        <v>0</v>
      </c>
      <c r="AO314">
        <v>493.99</v>
      </c>
      <c r="AP314">
        <v>0</v>
      </c>
      <c r="AQ314">
        <v>0.8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174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272"/>
        <v>5936.76</v>
      </c>
      <c r="CQ314">
        <f t="shared" si="273"/>
        <v>2.2200000000000002</v>
      </c>
      <c r="CR314">
        <f>(((((ET314*3))*BB314-((EU314*3))*BS314)+AE314*BS314)*AV314)</f>
        <v>0</v>
      </c>
      <c r="CS314">
        <f t="shared" si="274"/>
        <v>0</v>
      </c>
      <c r="CT314">
        <f t="shared" si="275"/>
        <v>1481.97</v>
      </c>
      <c r="CU314">
        <f t="shared" si="276"/>
        <v>0</v>
      </c>
      <c r="CV314">
        <f t="shared" si="277"/>
        <v>2.4000000000000004</v>
      </c>
      <c r="CW314">
        <f t="shared" si="278"/>
        <v>0</v>
      </c>
      <c r="CX314">
        <f t="shared" si="279"/>
        <v>0</v>
      </c>
      <c r="CY314">
        <f t="shared" si="280"/>
        <v>4149.5160000000005</v>
      </c>
      <c r="CZ314">
        <f t="shared" si="281"/>
        <v>592.78800000000001</v>
      </c>
      <c r="DC314" t="s">
        <v>3</v>
      </c>
      <c r="DD314" t="s">
        <v>156</v>
      </c>
      <c r="DE314" t="s">
        <v>156</v>
      </c>
      <c r="DF314" t="s">
        <v>156</v>
      </c>
      <c r="DG314" t="s">
        <v>156</v>
      </c>
      <c r="DH314" t="s">
        <v>3</v>
      </c>
      <c r="DI314" t="s">
        <v>156</v>
      </c>
      <c r="DJ314" t="s">
        <v>156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16987630</v>
      </c>
      <c r="DV314" t="s">
        <v>39</v>
      </c>
      <c r="DW314" t="s">
        <v>39</v>
      </c>
      <c r="DX314">
        <v>1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21</v>
      </c>
      <c r="EH314">
        <v>0</v>
      </c>
      <c r="EI314" t="s">
        <v>3</v>
      </c>
      <c r="EJ314">
        <v>4</v>
      </c>
      <c r="EK314">
        <v>0</v>
      </c>
      <c r="EL314" t="s">
        <v>22</v>
      </c>
      <c r="EM314" t="s">
        <v>23</v>
      </c>
      <c r="EO314" t="s">
        <v>3</v>
      </c>
      <c r="EQ314">
        <v>1024</v>
      </c>
      <c r="ER314">
        <v>494.73</v>
      </c>
      <c r="ES314">
        <v>0.74</v>
      </c>
      <c r="ET314">
        <v>0</v>
      </c>
      <c r="EU314">
        <v>0</v>
      </c>
      <c r="EV314">
        <v>493.99</v>
      </c>
      <c r="EW314">
        <v>0.8</v>
      </c>
      <c r="EX314">
        <v>0</v>
      </c>
      <c r="EY314">
        <v>0</v>
      </c>
      <c r="FQ314">
        <v>0</v>
      </c>
      <c r="FR314">
        <f t="shared" si="282"/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292563352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</v>
      </c>
      <c r="GL314">
        <f t="shared" si="283"/>
        <v>0</v>
      </c>
      <c r="GM314">
        <f t="shared" si="284"/>
        <v>10679.07</v>
      </c>
      <c r="GN314">
        <f t="shared" si="285"/>
        <v>0</v>
      </c>
      <c r="GO314">
        <f t="shared" si="286"/>
        <v>0</v>
      </c>
      <c r="GP314">
        <f t="shared" si="287"/>
        <v>10679.07</v>
      </c>
      <c r="GR314">
        <v>0</v>
      </c>
      <c r="GS314">
        <v>3</v>
      </c>
      <c r="GT314">
        <v>0</v>
      </c>
      <c r="GU314" t="s">
        <v>3</v>
      </c>
      <c r="GV314">
        <f t="shared" si="288"/>
        <v>0</v>
      </c>
      <c r="GW314">
        <v>1</v>
      </c>
      <c r="GX314">
        <f t="shared" si="289"/>
        <v>0</v>
      </c>
      <c r="HA314">
        <v>0</v>
      </c>
      <c r="HB314">
        <v>0</v>
      </c>
      <c r="HC314">
        <f t="shared" si="290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D315">
        <f>ROW(EtalonRes!A171)</f>
        <v>171</v>
      </c>
      <c r="E315" t="s">
        <v>3</v>
      </c>
      <c r="F315" t="s">
        <v>175</v>
      </c>
      <c r="G315" t="s">
        <v>176</v>
      </c>
      <c r="H315" t="s">
        <v>39</v>
      </c>
      <c r="I315">
        <f>ROUND((1+2)*4,9)</f>
        <v>12</v>
      </c>
      <c r="J315">
        <v>0</v>
      </c>
      <c r="K315">
        <f>ROUND((1+2)*4,9)</f>
        <v>12</v>
      </c>
      <c r="O315">
        <f t="shared" si="258"/>
        <v>13544.04</v>
      </c>
      <c r="P315">
        <f t="shared" si="259"/>
        <v>3.72</v>
      </c>
      <c r="Q315">
        <f t="shared" si="260"/>
        <v>0</v>
      </c>
      <c r="R315">
        <f t="shared" si="261"/>
        <v>0</v>
      </c>
      <c r="S315">
        <f t="shared" si="262"/>
        <v>13540.32</v>
      </c>
      <c r="T315">
        <f t="shared" si="263"/>
        <v>0</v>
      </c>
      <c r="U315">
        <f t="shared" si="264"/>
        <v>19.080000000000002</v>
      </c>
      <c r="V315">
        <f t="shared" si="265"/>
        <v>0</v>
      </c>
      <c r="W315">
        <f t="shared" si="266"/>
        <v>0</v>
      </c>
      <c r="X315">
        <f t="shared" si="267"/>
        <v>9478.2199999999993</v>
      </c>
      <c r="Y315">
        <f t="shared" si="268"/>
        <v>1354.03</v>
      </c>
      <c r="AA315">
        <v>-1</v>
      </c>
      <c r="AB315">
        <f t="shared" si="269"/>
        <v>1128.67</v>
      </c>
      <c r="AC315">
        <f>ROUND((ES315),6)</f>
        <v>0.31</v>
      </c>
      <c r="AD315">
        <f>ROUND((((ET315)-(EU315))+AE315),6)</f>
        <v>0</v>
      </c>
      <c r="AE315">
        <f>ROUND((EU315),6)</f>
        <v>0</v>
      </c>
      <c r="AF315">
        <f>ROUND((EV315),6)</f>
        <v>1128.3599999999999</v>
      </c>
      <c r="AG315">
        <f t="shared" si="270"/>
        <v>0</v>
      </c>
      <c r="AH315">
        <f>(EW315)</f>
        <v>1.59</v>
      </c>
      <c r="AI315">
        <f>(EX315)</f>
        <v>0</v>
      </c>
      <c r="AJ315">
        <f t="shared" si="271"/>
        <v>0</v>
      </c>
      <c r="AK315">
        <v>1128.67</v>
      </c>
      <c r="AL315">
        <v>0.31</v>
      </c>
      <c r="AM315">
        <v>0</v>
      </c>
      <c r="AN315">
        <v>0</v>
      </c>
      <c r="AO315">
        <v>1128.3599999999999</v>
      </c>
      <c r="AP315">
        <v>0</v>
      </c>
      <c r="AQ315">
        <v>1.59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177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272"/>
        <v>13544.039999999999</v>
      </c>
      <c r="CQ315">
        <f t="shared" si="273"/>
        <v>0.31</v>
      </c>
      <c r="CR315">
        <f>((((ET315)*BB315-(EU315)*BS315)+AE315*BS315)*AV315)</f>
        <v>0</v>
      </c>
      <c r="CS315">
        <f t="shared" si="274"/>
        <v>0</v>
      </c>
      <c r="CT315">
        <f t="shared" si="275"/>
        <v>1128.3599999999999</v>
      </c>
      <c r="CU315">
        <f t="shared" si="276"/>
        <v>0</v>
      </c>
      <c r="CV315">
        <f t="shared" si="277"/>
        <v>1.59</v>
      </c>
      <c r="CW315">
        <f t="shared" si="278"/>
        <v>0</v>
      </c>
      <c r="CX315">
        <f t="shared" si="279"/>
        <v>0</v>
      </c>
      <c r="CY315">
        <f t="shared" si="280"/>
        <v>9478.2240000000002</v>
      </c>
      <c r="CZ315">
        <f t="shared" si="281"/>
        <v>1354.0320000000002</v>
      </c>
      <c r="DC315" t="s">
        <v>3</v>
      </c>
      <c r="DD315" t="s">
        <v>3</v>
      </c>
      <c r="DE315" t="s">
        <v>3</v>
      </c>
      <c r="DF315" t="s">
        <v>3</v>
      </c>
      <c r="DG315" t="s">
        <v>3</v>
      </c>
      <c r="DH315" t="s">
        <v>3</v>
      </c>
      <c r="DI315" t="s">
        <v>3</v>
      </c>
      <c r="DJ315" t="s">
        <v>3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16987630</v>
      </c>
      <c r="DV315" t="s">
        <v>39</v>
      </c>
      <c r="DW315" t="s">
        <v>39</v>
      </c>
      <c r="DX315">
        <v>1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21</v>
      </c>
      <c r="EH315">
        <v>0</v>
      </c>
      <c r="EI315" t="s">
        <v>3</v>
      </c>
      <c r="EJ315">
        <v>4</v>
      </c>
      <c r="EK315">
        <v>0</v>
      </c>
      <c r="EL315" t="s">
        <v>22</v>
      </c>
      <c r="EM315" t="s">
        <v>23</v>
      </c>
      <c r="EO315" t="s">
        <v>3</v>
      </c>
      <c r="EQ315">
        <v>1836032</v>
      </c>
      <c r="ER315">
        <v>1128.67</v>
      </c>
      <c r="ES315">
        <v>0.31</v>
      </c>
      <c r="ET315">
        <v>0</v>
      </c>
      <c r="EU315">
        <v>0</v>
      </c>
      <c r="EV315">
        <v>1128.3599999999999</v>
      </c>
      <c r="EW315">
        <v>1.59</v>
      </c>
      <c r="EX315">
        <v>0</v>
      </c>
      <c r="EY315">
        <v>0</v>
      </c>
      <c r="FQ315">
        <v>0</v>
      </c>
      <c r="FR315">
        <f t="shared" si="282"/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2029808212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</v>
      </c>
      <c r="GL315">
        <f t="shared" si="283"/>
        <v>0</v>
      </c>
      <c r="GM315">
        <f t="shared" si="284"/>
        <v>24376.29</v>
      </c>
      <c r="GN315">
        <f t="shared" si="285"/>
        <v>0</v>
      </c>
      <c r="GO315">
        <f t="shared" si="286"/>
        <v>0</v>
      </c>
      <c r="GP315">
        <f t="shared" si="287"/>
        <v>24376.29</v>
      </c>
      <c r="GR315">
        <v>0</v>
      </c>
      <c r="GS315">
        <v>3</v>
      </c>
      <c r="GT315">
        <v>0</v>
      </c>
      <c r="GU315" t="s">
        <v>3</v>
      </c>
      <c r="GV315">
        <f t="shared" si="288"/>
        <v>0</v>
      </c>
      <c r="GW315">
        <v>1</v>
      </c>
      <c r="GX315">
        <f t="shared" si="289"/>
        <v>0</v>
      </c>
      <c r="HA315">
        <v>0</v>
      </c>
      <c r="HB315">
        <v>0</v>
      </c>
      <c r="HC315">
        <f t="shared" si="290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D316">
        <f>ROW(EtalonRes!A174)</f>
        <v>174</v>
      </c>
      <c r="E316" t="s">
        <v>261</v>
      </c>
      <c r="F316" t="s">
        <v>179</v>
      </c>
      <c r="G316" t="s">
        <v>180</v>
      </c>
      <c r="H316" t="s">
        <v>39</v>
      </c>
      <c r="I316">
        <f>ROUND(1*4,9)</f>
        <v>4</v>
      </c>
      <c r="J316">
        <v>0</v>
      </c>
      <c r="K316">
        <f>ROUND(1*4,9)</f>
        <v>4</v>
      </c>
      <c r="O316">
        <f t="shared" si="258"/>
        <v>355.52</v>
      </c>
      <c r="P316">
        <f t="shared" si="259"/>
        <v>8.8000000000000007</v>
      </c>
      <c r="Q316">
        <f t="shared" si="260"/>
        <v>0.92</v>
      </c>
      <c r="R316">
        <f t="shared" si="261"/>
        <v>0</v>
      </c>
      <c r="S316">
        <f t="shared" si="262"/>
        <v>345.8</v>
      </c>
      <c r="T316">
        <f t="shared" si="263"/>
        <v>0</v>
      </c>
      <c r="U316">
        <f t="shared" si="264"/>
        <v>0.56000000000000005</v>
      </c>
      <c r="V316">
        <f t="shared" si="265"/>
        <v>0</v>
      </c>
      <c r="W316">
        <f t="shared" si="266"/>
        <v>0</v>
      </c>
      <c r="X316">
        <f t="shared" si="267"/>
        <v>242.06</v>
      </c>
      <c r="Y316">
        <f t="shared" si="268"/>
        <v>34.58</v>
      </c>
      <c r="AA316">
        <v>1471531721</v>
      </c>
      <c r="AB316">
        <f t="shared" si="269"/>
        <v>88.88</v>
      </c>
      <c r="AC316">
        <f>ROUND((ES316),6)</f>
        <v>2.2000000000000002</v>
      </c>
      <c r="AD316">
        <f>ROUND((((ET316)-(EU316))+AE316),6)</f>
        <v>0.23</v>
      </c>
      <c r="AE316">
        <f>ROUND((EU316),6)</f>
        <v>0</v>
      </c>
      <c r="AF316">
        <f>ROUND((EV316),6)</f>
        <v>86.45</v>
      </c>
      <c r="AG316">
        <f t="shared" si="270"/>
        <v>0</v>
      </c>
      <c r="AH316">
        <f>(EW316)</f>
        <v>0.14000000000000001</v>
      </c>
      <c r="AI316">
        <f>(EX316)</f>
        <v>0</v>
      </c>
      <c r="AJ316">
        <f t="shared" si="271"/>
        <v>0</v>
      </c>
      <c r="AK316">
        <v>88.88</v>
      </c>
      <c r="AL316">
        <v>2.2000000000000002</v>
      </c>
      <c r="AM316">
        <v>0.23</v>
      </c>
      <c r="AN316">
        <v>0</v>
      </c>
      <c r="AO316">
        <v>86.45</v>
      </c>
      <c r="AP316">
        <v>0</v>
      </c>
      <c r="AQ316">
        <v>0.14000000000000001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181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272"/>
        <v>355.52000000000004</v>
      </c>
      <c r="CQ316">
        <f t="shared" si="273"/>
        <v>2.2000000000000002</v>
      </c>
      <c r="CR316">
        <f>((((ET316)*BB316-(EU316)*BS316)+AE316*BS316)*AV316)</f>
        <v>0.23</v>
      </c>
      <c r="CS316">
        <f t="shared" si="274"/>
        <v>0</v>
      </c>
      <c r="CT316">
        <f t="shared" si="275"/>
        <v>86.45</v>
      </c>
      <c r="CU316">
        <f t="shared" si="276"/>
        <v>0</v>
      </c>
      <c r="CV316">
        <f t="shared" si="277"/>
        <v>0.14000000000000001</v>
      </c>
      <c r="CW316">
        <f t="shared" si="278"/>
        <v>0</v>
      </c>
      <c r="CX316">
        <f t="shared" si="279"/>
        <v>0</v>
      </c>
      <c r="CY316">
        <f t="shared" si="280"/>
        <v>242.06</v>
      </c>
      <c r="CZ316">
        <f t="shared" si="281"/>
        <v>34.58</v>
      </c>
      <c r="DC316" t="s">
        <v>3</v>
      </c>
      <c r="DD316" t="s">
        <v>3</v>
      </c>
      <c r="DE316" t="s">
        <v>3</v>
      </c>
      <c r="DF316" t="s">
        <v>3</v>
      </c>
      <c r="DG316" t="s">
        <v>3</v>
      </c>
      <c r="DH316" t="s">
        <v>3</v>
      </c>
      <c r="DI316" t="s">
        <v>3</v>
      </c>
      <c r="DJ316" t="s">
        <v>3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16987630</v>
      </c>
      <c r="DV316" t="s">
        <v>39</v>
      </c>
      <c r="DW316" t="s">
        <v>39</v>
      </c>
      <c r="DX316">
        <v>1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21</v>
      </c>
      <c r="EH316">
        <v>0</v>
      </c>
      <c r="EI316" t="s">
        <v>3</v>
      </c>
      <c r="EJ316">
        <v>4</v>
      </c>
      <c r="EK316">
        <v>0</v>
      </c>
      <c r="EL316" t="s">
        <v>22</v>
      </c>
      <c r="EM316" t="s">
        <v>23</v>
      </c>
      <c r="EO316" t="s">
        <v>3</v>
      </c>
      <c r="EQ316">
        <v>0</v>
      </c>
      <c r="ER316">
        <v>88.88</v>
      </c>
      <c r="ES316">
        <v>2.2000000000000002</v>
      </c>
      <c r="ET316">
        <v>0.23</v>
      </c>
      <c r="EU316">
        <v>0</v>
      </c>
      <c r="EV316">
        <v>86.45</v>
      </c>
      <c r="EW316">
        <v>0.14000000000000001</v>
      </c>
      <c r="EX316">
        <v>0</v>
      </c>
      <c r="EY316">
        <v>0</v>
      </c>
      <c r="FQ316">
        <v>0</v>
      </c>
      <c r="FR316">
        <f t="shared" si="282"/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-129403832</v>
      </c>
      <c r="GG316">
        <v>2</v>
      </c>
      <c r="GH316">
        <v>1</v>
      </c>
      <c r="GI316">
        <v>-2</v>
      </c>
      <c r="GJ316">
        <v>0</v>
      </c>
      <c r="GK316">
        <f>ROUND(R316*(R12)/100,2)</f>
        <v>0</v>
      </c>
      <c r="GL316">
        <f t="shared" si="283"/>
        <v>0</v>
      </c>
      <c r="GM316">
        <f t="shared" si="284"/>
        <v>632.16</v>
      </c>
      <c r="GN316">
        <f t="shared" si="285"/>
        <v>0</v>
      </c>
      <c r="GO316">
        <f t="shared" si="286"/>
        <v>0</v>
      </c>
      <c r="GP316">
        <f t="shared" si="287"/>
        <v>632.16</v>
      </c>
      <c r="GR316">
        <v>0</v>
      </c>
      <c r="GS316">
        <v>3</v>
      </c>
      <c r="GT316">
        <v>0</v>
      </c>
      <c r="GU316" t="s">
        <v>3</v>
      </c>
      <c r="GV316">
        <f t="shared" si="288"/>
        <v>0</v>
      </c>
      <c r="GW316">
        <v>1</v>
      </c>
      <c r="GX316">
        <f t="shared" si="289"/>
        <v>0</v>
      </c>
      <c r="HA316">
        <v>0</v>
      </c>
      <c r="HB316">
        <v>0</v>
      </c>
      <c r="HC316">
        <f t="shared" si="290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D317">
        <f>ROW(EtalonRes!A175)</f>
        <v>175</v>
      </c>
      <c r="E317" t="s">
        <v>3</v>
      </c>
      <c r="F317" t="s">
        <v>182</v>
      </c>
      <c r="G317" t="s">
        <v>183</v>
      </c>
      <c r="H317" t="s">
        <v>18</v>
      </c>
      <c r="I317">
        <f>ROUND(1*4/10,9)</f>
        <v>0.4</v>
      </c>
      <c r="J317">
        <v>0</v>
      </c>
      <c r="K317">
        <f>ROUND(1*4/10,9)</f>
        <v>0.4</v>
      </c>
      <c r="O317">
        <f t="shared" si="258"/>
        <v>249.37</v>
      </c>
      <c r="P317">
        <f t="shared" si="259"/>
        <v>0</v>
      </c>
      <c r="Q317">
        <f t="shared" si="260"/>
        <v>0</v>
      </c>
      <c r="R317">
        <f t="shared" si="261"/>
        <v>0</v>
      </c>
      <c r="S317">
        <f t="shared" si="262"/>
        <v>249.37</v>
      </c>
      <c r="T317">
        <f t="shared" si="263"/>
        <v>0</v>
      </c>
      <c r="U317">
        <f t="shared" si="264"/>
        <v>0.49199999999999999</v>
      </c>
      <c r="V317">
        <f t="shared" si="265"/>
        <v>0</v>
      </c>
      <c r="W317">
        <f t="shared" si="266"/>
        <v>0</v>
      </c>
      <c r="X317">
        <f t="shared" si="267"/>
        <v>174.56</v>
      </c>
      <c r="Y317">
        <f t="shared" si="268"/>
        <v>24.94</v>
      </c>
      <c r="AA317">
        <v>-1</v>
      </c>
      <c r="AB317">
        <f t="shared" si="269"/>
        <v>623.42999999999995</v>
      </c>
      <c r="AC317">
        <f>ROUND(((ES317*3)),6)</f>
        <v>0</v>
      </c>
      <c r="AD317">
        <f>ROUND(((((ET317*3))-((EU317*3)))+AE317),6)</f>
        <v>0</v>
      </c>
      <c r="AE317">
        <f>ROUND(((EU317*3)),6)</f>
        <v>0</v>
      </c>
      <c r="AF317">
        <f>ROUND(((EV317*3)),6)</f>
        <v>623.42999999999995</v>
      </c>
      <c r="AG317">
        <f t="shared" si="270"/>
        <v>0</v>
      </c>
      <c r="AH317">
        <f>((EW317*3))</f>
        <v>1.23</v>
      </c>
      <c r="AI317">
        <f>((EX317*3))</f>
        <v>0</v>
      </c>
      <c r="AJ317">
        <f t="shared" si="271"/>
        <v>0</v>
      </c>
      <c r="AK317">
        <v>207.81</v>
      </c>
      <c r="AL317">
        <v>0</v>
      </c>
      <c r="AM317">
        <v>0</v>
      </c>
      <c r="AN317">
        <v>0</v>
      </c>
      <c r="AO317">
        <v>207.81</v>
      </c>
      <c r="AP317">
        <v>0</v>
      </c>
      <c r="AQ317">
        <v>0.41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184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272"/>
        <v>249.37</v>
      </c>
      <c r="CQ317">
        <f t="shared" si="273"/>
        <v>0</v>
      </c>
      <c r="CR317">
        <f>(((((ET317*3))*BB317-((EU317*3))*BS317)+AE317*BS317)*AV317)</f>
        <v>0</v>
      </c>
      <c r="CS317">
        <f t="shared" si="274"/>
        <v>0</v>
      </c>
      <c r="CT317">
        <f t="shared" si="275"/>
        <v>623.42999999999995</v>
      </c>
      <c r="CU317">
        <f t="shared" si="276"/>
        <v>0</v>
      </c>
      <c r="CV317">
        <f t="shared" si="277"/>
        <v>1.23</v>
      </c>
      <c r="CW317">
        <f t="shared" si="278"/>
        <v>0</v>
      </c>
      <c r="CX317">
        <f t="shared" si="279"/>
        <v>0</v>
      </c>
      <c r="CY317">
        <f t="shared" si="280"/>
        <v>174.55900000000003</v>
      </c>
      <c r="CZ317">
        <f t="shared" si="281"/>
        <v>24.936999999999998</v>
      </c>
      <c r="DC317" t="s">
        <v>3</v>
      </c>
      <c r="DD317" t="s">
        <v>156</v>
      </c>
      <c r="DE317" t="s">
        <v>156</v>
      </c>
      <c r="DF317" t="s">
        <v>156</v>
      </c>
      <c r="DG317" t="s">
        <v>156</v>
      </c>
      <c r="DH317" t="s">
        <v>3</v>
      </c>
      <c r="DI317" t="s">
        <v>156</v>
      </c>
      <c r="DJ317" t="s">
        <v>156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16987630</v>
      </c>
      <c r="DV317" t="s">
        <v>18</v>
      </c>
      <c r="DW317" t="s">
        <v>18</v>
      </c>
      <c r="DX317">
        <v>10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21</v>
      </c>
      <c r="EH317">
        <v>0</v>
      </c>
      <c r="EI317" t="s">
        <v>3</v>
      </c>
      <c r="EJ317">
        <v>4</v>
      </c>
      <c r="EK317">
        <v>0</v>
      </c>
      <c r="EL317" t="s">
        <v>22</v>
      </c>
      <c r="EM317" t="s">
        <v>23</v>
      </c>
      <c r="EO317" t="s">
        <v>3</v>
      </c>
      <c r="EQ317">
        <v>1024</v>
      </c>
      <c r="ER317">
        <v>207.81</v>
      </c>
      <c r="ES317">
        <v>0</v>
      </c>
      <c r="ET317">
        <v>0</v>
      </c>
      <c r="EU317">
        <v>0</v>
      </c>
      <c r="EV317">
        <v>207.81</v>
      </c>
      <c r="EW317">
        <v>0.41</v>
      </c>
      <c r="EX317">
        <v>0</v>
      </c>
      <c r="EY317">
        <v>0</v>
      </c>
      <c r="FQ317">
        <v>0</v>
      </c>
      <c r="FR317">
        <f t="shared" si="282"/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1497006217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 t="shared" si="283"/>
        <v>0</v>
      </c>
      <c r="GM317">
        <f t="shared" si="284"/>
        <v>448.87</v>
      </c>
      <c r="GN317">
        <f t="shared" si="285"/>
        <v>0</v>
      </c>
      <c r="GO317">
        <f t="shared" si="286"/>
        <v>0</v>
      </c>
      <c r="GP317">
        <f t="shared" si="287"/>
        <v>448.87</v>
      </c>
      <c r="GR317">
        <v>0</v>
      </c>
      <c r="GS317">
        <v>3</v>
      </c>
      <c r="GT317">
        <v>0</v>
      </c>
      <c r="GU317" t="s">
        <v>3</v>
      </c>
      <c r="GV317">
        <f t="shared" si="288"/>
        <v>0</v>
      </c>
      <c r="GW317">
        <v>1</v>
      </c>
      <c r="GX317">
        <f t="shared" si="289"/>
        <v>0</v>
      </c>
      <c r="HA317">
        <v>0</v>
      </c>
      <c r="HB317">
        <v>0</v>
      </c>
      <c r="HC317">
        <f t="shared" si="290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17</v>
      </c>
      <c r="B318">
        <v>1</v>
      </c>
      <c r="D318">
        <f>ROW(EtalonRes!A178)</f>
        <v>178</v>
      </c>
      <c r="E318" t="s">
        <v>262</v>
      </c>
      <c r="F318" t="s">
        <v>263</v>
      </c>
      <c r="G318" t="s">
        <v>264</v>
      </c>
      <c r="H318" t="s">
        <v>18</v>
      </c>
      <c r="I318">
        <f>ROUND(2*4/10,9)</f>
        <v>0.8</v>
      </c>
      <c r="J318">
        <v>0</v>
      </c>
      <c r="K318">
        <f>ROUND(2*4/10,9)</f>
        <v>0.8</v>
      </c>
      <c r="O318">
        <f t="shared" si="258"/>
        <v>840.98</v>
      </c>
      <c r="P318">
        <f t="shared" si="259"/>
        <v>1.34</v>
      </c>
      <c r="Q318">
        <f t="shared" si="260"/>
        <v>3.27</v>
      </c>
      <c r="R318">
        <f t="shared" si="261"/>
        <v>0.05</v>
      </c>
      <c r="S318">
        <f t="shared" si="262"/>
        <v>836.37</v>
      </c>
      <c r="T318">
        <f t="shared" si="263"/>
        <v>0</v>
      </c>
      <c r="U318">
        <f t="shared" si="264"/>
        <v>1.4720000000000002</v>
      </c>
      <c r="V318">
        <f t="shared" si="265"/>
        <v>0</v>
      </c>
      <c r="W318">
        <f t="shared" si="266"/>
        <v>0</v>
      </c>
      <c r="X318">
        <f t="shared" si="267"/>
        <v>585.46</v>
      </c>
      <c r="Y318">
        <f t="shared" si="268"/>
        <v>83.64</v>
      </c>
      <c r="AA318">
        <v>1471531721</v>
      </c>
      <c r="AB318">
        <f t="shared" si="269"/>
        <v>1051.22</v>
      </c>
      <c r="AC318">
        <f>ROUND((ES318),6)</f>
        <v>1.67</v>
      </c>
      <c r="AD318">
        <f>ROUND((((ET318)-(EU318))+AE318),6)</f>
        <v>4.09</v>
      </c>
      <c r="AE318">
        <f>ROUND((EU318),6)</f>
        <v>0.06</v>
      </c>
      <c r="AF318">
        <f>ROUND((EV318),6)</f>
        <v>1045.46</v>
      </c>
      <c r="AG318">
        <f t="shared" si="270"/>
        <v>0</v>
      </c>
      <c r="AH318">
        <f>(EW318)</f>
        <v>1.84</v>
      </c>
      <c r="AI318">
        <f>(EX318)</f>
        <v>0</v>
      </c>
      <c r="AJ318">
        <f t="shared" si="271"/>
        <v>0</v>
      </c>
      <c r="AK318">
        <v>1051.22</v>
      </c>
      <c r="AL318">
        <v>1.67</v>
      </c>
      <c r="AM318">
        <v>4.09</v>
      </c>
      <c r="AN318">
        <v>0.06</v>
      </c>
      <c r="AO318">
        <v>1045.46</v>
      </c>
      <c r="AP318">
        <v>0</v>
      </c>
      <c r="AQ318">
        <v>1.84</v>
      </c>
      <c r="AR318">
        <v>0</v>
      </c>
      <c r="AS318">
        <v>0</v>
      </c>
      <c r="AT318">
        <v>70</v>
      </c>
      <c r="AU318">
        <v>10</v>
      </c>
      <c r="AV318">
        <v>1</v>
      </c>
      <c r="AW318">
        <v>1</v>
      </c>
      <c r="AZ318">
        <v>1</v>
      </c>
      <c r="BA318">
        <v>1</v>
      </c>
      <c r="BB318">
        <v>1</v>
      </c>
      <c r="BC318">
        <v>1</v>
      </c>
      <c r="BD318" t="s">
        <v>3</v>
      </c>
      <c r="BE318" t="s">
        <v>3</v>
      </c>
      <c r="BF318" t="s">
        <v>3</v>
      </c>
      <c r="BG318" t="s">
        <v>3</v>
      </c>
      <c r="BH318">
        <v>0</v>
      </c>
      <c r="BI318">
        <v>4</v>
      </c>
      <c r="BJ318" t="s">
        <v>265</v>
      </c>
      <c r="BM318">
        <v>0</v>
      </c>
      <c r="BN318">
        <v>0</v>
      </c>
      <c r="BO318" t="s">
        <v>3</v>
      </c>
      <c r="BP318">
        <v>0</v>
      </c>
      <c r="BQ318">
        <v>1</v>
      </c>
      <c r="BR318">
        <v>0</v>
      </c>
      <c r="BS318">
        <v>1</v>
      </c>
      <c r="BT318">
        <v>1</v>
      </c>
      <c r="BU318">
        <v>1</v>
      </c>
      <c r="BV318">
        <v>1</v>
      </c>
      <c r="BW318">
        <v>1</v>
      </c>
      <c r="BX318">
        <v>1</v>
      </c>
      <c r="BY318" t="s">
        <v>3</v>
      </c>
      <c r="BZ318">
        <v>70</v>
      </c>
      <c r="CA318">
        <v>10</v>
      </c>
      <c r="CB318" t="s">
        <v>3</v>
      </c>
      <c r="CE318">
        <v>0</v>
      </c>
      <c r="CF318">
        <v>0</v>
      </c>
      <c r="CG318">
        <v>0</v>
      </c>
      <c r="CM318">
        <v>0</v>
      </c>
      <c r="CN318" t="s">
        <v>3</v>
      </c>
      <c r="CO318">
        <v>0</v>
      </c>
      <c r="CP318">
        <f t="shared" si="272"/>
        <v>840.98</v>
      </c>
      <c r="CQ318">
        <f t="shared" si="273"/>
        <v>1.67</v>
      </c>
      <c r="CR318">
        <f>((((ET318)*BB318-(EU318)*BS318)+AE318*BS318)*AV318)</f>
        <v>4.09</v>
      </c>
      <c r="CS318">
        <f t="shared" si="274"/>
        <v>0.06</v>
      </c>
      <c r="CT318">
        <f t="shared" si="275"/>
        <v>1045.46</v>
      </c>
      <c r="CU318">
        <f t="shared" si="276"/>
        <v>0</v>
      </c>
      <c r="CV318">
        <f t="shared" si="277"/>
        <v>1.84</v>
      </c>
      <c r="CW318">
        <f t="shared" si="278"/>
        <v>0</v>
      </c>
      <c r="CX318">
        <f t="shared" si="279"/>
        <v>0</v>
      </c>
      <c r="CY318">
        <f t="shared" si="280"/>
        <v>585.45900000000006</v>
      </c>
      <c r="CZ318">
        <f t="shared" si="281"/>
        <v>83.637</v>
      </c>
      <c r="DC318" t="s">
        <v>3</v>
      </c>
      <c r="DD318" t="s">
        <v>3</v>
      </c>
      <c r="DE318" t="s">
        <v>3</v>
      </c>
      <c r="DF318" t="s">
        <v>3</v>
      </c>
      <c r="DG318" t="s">
        <v>3</v>
      </c>
      <c r="DH318" t="s">
        <v>3</v>
      </c>
      <c r="DI318" t="s">
        <v>3</v>
      </c>
      <c r="DJ318" t="s">
        <v>3</v>
      </c>
      <c r="DK318" t="s">
        <v>3</v>
      </c>
      <c r="DL318" t="s">
        <v>3</v>
      </c>
      <c r="DM318" t="s">
        <v>3</v>
      </c>
      <c r="DN318">
        <v>0</v>
      </c>
      <c r="DO318">
        <v>0</v>
      </c>
      <c r="DP318">
        <v>1</v>
      </c>
      <c r="DQ318">
        <v>1</v>
      </c>
      <c r="DU318">
        <v>16987630</v>
      </c>
      <c r="DV318" t="s">
        <v>18</v>
      </c>
      <c r="DW318" t="s">
        <v>18</v>
      </c>
      <c r="DX318">
        <v>10</v>
      </c>
      <c r="DZ318" t="s">
        <v>3</v>
      </c>
      <c r="EA318" t="s">
        <v>3</v>
      </c>
      <c r="EB318" t="s">
        <v>3</v>
      </c>
      <c r="EC318" t="s">
        <v>3</v>
      </c>
      <c r="EE318">
        <v>1441815344</v>
      </c>
      <c r="EF318">
        <v>1</v>
      </c>
      <c r="EG318" t="s">
        <v>21</v>
      </c>
      <c r="EH318">
        <v>0</v>
      </c>
      <c r="EI318" t="s">
        <v>3</v>
      </c>
      <c r="EJ318">
        <v>4</v>
      </c>
      <c r="EK318">
        <v>0</v>
      </c>
      <c r="EL318" t="s">
        <v>22</v>
      </c>
      <c r="EM318" t="s">
        <v>23</v>
      </c>
      <c r="EO318" t="s">
        <v>3</v>
      </c>
      <c r="EQ318">
        <v>0</v>
      </c>
      <c r="ER318">
        <v>1051.22</v>
      </c>
      <c r="ES318">
        <v>1.67</v>
      </c>
      <c r="ET318">
        <v>4.09</v>
      </c>
      <c r="EU318">
        <v>0.06</v>
      </c>
      <c r="EV318">
        <v>1045.46</v>
      </c>
      <c r="EW318">
        <v>1.84</v>
      </c>
      <c r="EX318">
        <v>0</v>
      </c>
      <c r="EY318">
        <v>0</v>
      </c>
      <c r="FQ318">
        <v>0</v>
      </c>
      <c r="FR318">
        <f t="shared" si="282"/>
        <v>0</v>
      </c>
      <c r="FS318">
        <v>0</v>
      </c>
      <c r="FX318">
        <v>70</v>
      </c>
      <c r="FY318">
        <v>10</v>
      </c>
      <c r="GA318" t="s">
        <v>3</v>
      </c>
      <c r="GD318">
        <v>0</v>
      </c>
      <c r="GF318">
        <v>373109242</v>
      </c>
      <c r="GG318">
        <v>2</v>
      </c>
      <c r="GH318">
        <v>1</v>
      </c>
      <c r="GI318">
        <v>-2</v>
      </c>
      <c r="GJ318">
        <v>0</v>
      </c>
      <c r="GK318">
        <f>ROUND(R318*(R12)/100,2)</f>
        <v>0.05</v>
      </c>
      <c r="GL318">
        <f t="shared" si="283"/>
        <v>0</v>
      </c>
      <c r="GM318">
        <f t="shared" si="284"/>
        <v>1510.13</v>
      </c>
      <c r="GN318">
        <f t="shared" si="285"/>
        <v>0</v>
      </c>
      <c r="GO318">
        <f t="shared" si="286"/>
        <v>0</v>
      </c>
      <c r="GP318">
        <f t="shared" si="287"/>
        <v>1510.13</v>
      </c>
      <c r="GR318">
        <v>0</v>
      </c>
      <c r="GS318">
        <v>3</v>
      </c>
      <c r="GT318">
        <v>0</v>
      </c>
      <c r="GU318" t="s">
        <v>3</v>
      </c>
      <c r="GV318">
        <f t="shared" si="288"/>
        <v>0</v>
      </c>
      <c r="GW318">
        <v>1</v>
      </c>
      <c r="GX318">
        <f t="shared" si="289"/>
        <v>0</v>
      </c>
      <c r="HA318">
        <v>0</v>
      </c>
      <c r="HB318">
        <v>0</v>
      </c>
      <c r="HC318">
        <f t="shared" si="290"/>
        <v>0</v>
      </c>
      <c r="HE318" t="s">
        <v>3</v>
      </c>
      <c r="HF318" t="s">
        <v>3</v>
      </c>
      <c r="HM318" t="s">
        <v>3</v>
      </c>
      <c r="HN318" t="s">
        <v>3</v>
      </c>
      <c r="HO318" t="s">
        <v>3</v>
      </c>
      <c r="HP318" t="s">
        <v>3</v>
      </c>
      <c r="HQ318" t="s">
        <v>3</v>
      </c>
      <c r="IK318">
        <v>0</v>
      </c>
    </row>
    <row r="319" spans="1:245" x14ac:dyDescent="0.2">
      <c r="A319">
        <v>17</v>
      </c>
      <c r="B319">
        <v>1</v>
      </c>
      <c r="D319">
        <f>ROW(EtalonRes!A181)</f>
        <v>181</v>
      </c>
      <c r="E319" t="s">
        <v>266</v>
      </c>
      <c r="F319" t="s">
        <v>263</v>
      </c>
      <c r="G319" t="s">
        <v>264</v>
      </c>
      <c r="H319" t="s">
        <v>18</v>
      </c>
      <c r="I319">
        <f>ROUND(2*4/10,9)</f>
        <v>0.8</v>
      </c>
      <c r="J319">
        <v>0</v>
      </c>
      <c r="K319">
        <f>ROUND(2*4/10,9)</f>
        <v>0.8</v>
      </c>
      <c r="O319">
        <f t="shared" si="258"/>
        <v>840.98</v>
      </c>
      <c r="P319">
        <f t="shared" si="259"/>
        <v>1.34</v>
      </c>
      <c r="Q319">
        <f t="shared" si="260"/>
        <v>3.27</v>
      </c>
      <c r="R319">
        <f t="shared" si="261"/>
        <v>0.05</v>
      </c>
      <c r="S319">
        <f t="shared" si="262"/>
        <v>836.37</v>
      </c>
      <c r="T319">
        <f t="shared" si="263"/>
        <v>0</v>
      </c>
      <c r="U319">
        <f t="shared" si="264"/>
        <v>1.4720000000000002</v>
      </c>
      <c r="V319">
        <f t="shared" si="265"/>
        <v>0</v>
      </c>
      <c r="W319">
        <f t="shared" si="266"/>
        <v>0</v>
      </c>
      <c r="X319">
        <f t="shared" si="267"/>
        <v>585.46</v>
      </c>
      <c r="Y319">
        <f t="shared" si="268"/>
        <v>83.64</v>
      </c>
      <c r="AA319">
        <v>1471531721</v>
      </c>
      <c r="AB319">
        <f t="shared" si="269"/>
        <v>1051.22</v>
      </c>
      <c r="AC319">
        <f>ROUND((ES319),6)</f>
        <v>1.67</v>
      </c>
      <c r="AD319">
        <f>ROUND((((ET319)-(EU319))+AE319),6)</f>
        <v>4.09</v>
      </c>
      <c r="AE319">
        <f>ROUND((EU319),6)</f>
        <v>0.06</v>
      </c>
      <c r="AF319">
        <f>ROUND((EV319),6)</f>
        <v>1045.46</v>
      </c>
      <c r="AG319">
        <f t="shared" si="270"/>
        <v>0</v>
      </c>
      <c r="AH319">
        <f>(EW319)</f>
        <v>1.84</v>
      </c>
      <c r="AI319">
        <f>(EX319)</f>
        <v>0</v>
      </c>
      <c r="AJ319">
        <f t="shared" si="271"/>
        <v>0</v>
      </c>
      <c r="AK319">
        <v>1051.22</v>
      </c>
      <c r="AL319">
        <v>1.67</v>
      </c>
      <c r="AM319">
        <v>4.09</v>
      </c>
      <c r="AN319">
        <v>0.06</v>
      </c>
      <c r="AO319">
        <v>1045.46</v>
      </c>
      <c r="AP319">
        <v>0</v>
      </c>
      <c r="AQ319">
        <v>1.84</v>
      </c>
      <c r="AR319">
        <v>0</v>
      </c>
      <c r="AS319">
        <v>0</v>
      </c>
      <c r="AT319">
        <v>70</v>
      </c>
      <c r="AU319">
        <v>10</v>
      </c>
      <c r="AV319">
        <v>1</v>
      </c>
      <c r="AW319">
        <v>1</v>
      </c>
      <c r="AZ319">
        <v>1</v>
      </c>
      <c r="BA319">
        <v>1</v>
      </c>
      <c r="BB319">
        <v>1</v>
      </c>
      <c r="BC319">
        <v>1</v>
      </c>
      <c r="BD319" t="s">
        <v>3</v>
      </c>
      <c r="BE319" t="s">
        <v>3</v>
      </c>
      <c r="BF319" t="s">
        <v>3</v>
      </c>
      <c r="BG319" t="s">
        <v>3</v>
      </c>
      <c r="BH319">
        <v>0</v>
      </c>
      <c r="BI319">
        <v>4</v>
      </c>
      <c r="BJ319" t="s">
        <v>265</v>
      </c>
      <c r="BM319">
        <v>0</v>
      </c>
      <c r="BN319">
        <v>0</v>
      </c>
      <c r="BO319" t="s">
        <v>3</v>
      </c>
      <c r="BP319">
        <v>0</v>
      </c>
      <c r="BQ319">
        <v>1</v>
      </c>
      <c r="BR319">
        <v>0</v>
      </c>
      <c r="BS319">
        <v>1</v>
      </c>
      <c r="BT319">
        <v>1</v>
      </c>
      <c r="BU319">
        <v>1</v>
      </c>
      <c r="BV319">
        <v>1</v>
      </c>
      <c r="BW319">
        <v>1</v>
      </c>
      <c r="BX319">
        <v>1</v>
      </c>
      <c r="BY319" t="s">
        <v>3</v>
      </c>
      <c r="BZ319">
        <v>70</v>
      </c>
      <c r="CA319">
        <v>10</v>
      </c>
      <c r="CB319" t="s">
        <v>3</v>
      </c>
      <c r="CE319">
        <v>0</v>
      </c>
      <c r="CF319">
        <v>0</v>
      </c>
      <c r="CG319">
        <v>0</v>
      </c>
      <c r="CM319">
        <v>0</v>
      </c>
      <c r="CN319" t="s">
        <v>3</v>
      </c>
      <c r="CO319">
        <v>0</v>
      </c>
      <c r="CP319">
        <f t="shared" si="272"/>
        <v>840.98</v>
      </c>
      <c r="CQ319">
        <f t="shared" si="273"/>
        <v>1.67</v>
      </c>
      <c r="CR319">
        <f>((((ET319)*BB319-(EU319)*BS319)+AE319*BS319)*AV319)</f>
        <v>4.09</v>
      </c>
      <c r="CS319">
        <f t="shared" si="274"/>
        <v>0.06</v>
      </c>
      <c r="CT319">
        <f t="shared" si="275"/>
        <v>1045.46</v>
      </c>
      <c r="CU319">
        <f t="shared" si="276"/>
        <v>0</v>
      </c>
      <c r="CV319">
        <f t="shared" si="277"/>
        <v>1.84</v>
      </c>
      <c r="CW319">
        <f t="shared" si="278"/>
        <v>0</v>
      </c>
      <c r="CX319">
        <f t="shared" si="279"/>
        <v>0</v>
      </c>
      <c r="CY319">
        <f t="shared" si="280"/>
        <v>585.45900000000006</v>
      </c>
      <c r="CZ319">
        <f t="shared" si="281"/>
        <v>83.637</v>
      </c>
      <c r="DC319" t="s">
        <v>3</v>
      </c>
      <c r="DD319" t="s">
        <v>3</v>
      </c>
      <c r="DE319" t="s">
        <v>3</v>
      </c>
      <c r="DF319" t="s">
        <v>3</v>
      </c>
      <c r="DG319" t="s">
        <v>3</v>
      </c>
      <c r="DH319" t="s">
        <v>3</v>
      </c>
      <c r="DI319" t="s">
        <v>3</v>
      </c>
      <c r="DJ319" t="s">
        <v>3</v>
      </c>
      <c r="DK319" t="s">
        <v>3</v>
      </c>
      <c r="DL319" t="s">
        <v>3</v>
      </c>
      <c r="DM319" t="s">
        <v>3</v>
      </c>
      <c r="DN319">
        <v>0</v>
      </c>
      <c r="DO319">
        <v>0</v>
      </c>
      <c r="DP319">
        <v>1</v>
      </c>
      <c r="DQ319">
        <v>1</v>
      </c>
      <c r="DU319">
        <v>16987630</v>
      </c>
      <c r="DV319" t="s">
        <v>18</v>
      </c>
      <c r="DW319" t="s">
        <v>18</v>
      </c>
      <c r="DX319">
        <v>10</v>
      </c>
      <c r="DZ319" t="s">
        <v>3</v>
      </c>
      <c r="EA319" t="s">
        <v>3</v>
      </c>
      <c r="EB319" t="s">
        <v>3</v>
      </c>
      <c r="EC319" t="s">
        <v>3</v>
      </c>
      <c r="EE319">
        <v>1441815344</v>
      </c>
      <c r="EF319">
        <v>1</v>
      </c>
      <c r="EG319" t="s">
        <v>21</v>
      </c>
      <c r="EH319">
        <v>0</v>
      </c>
      <c r="EI319" t="s">
        <v>3</v>
      </c>
      <c r="EJ319">
        <v>4</v>
      </c>
      <c r="EK319">
        <v>0</v>
      </c>
      <c r="EL319" t="s">
        <v>22</v>
      </c>
      <c r="EM319" t="s">
        <v>23</v>
      </c>
      <c r="EO319" t="s">
        <v>3</v>
      </c>
      <c r="EQ319">
        <v>0</v>
      </c>
      <c r="ER319">
        <v>1051.22</v>
      </c>
      <c r="ES319">
        <v>1.67</v>
      </c>
      <c r="ET319">
        <v>4.09</v>
      </c>
      <c r="EU319">
        <v>0.06</v>
      </c>
      <c r="EV319">
        <v>1045.46</v>
      </c>
      <c r="EW319">
        <v>1.84</v>
      </c>
      <c r="EX319">
        <v>0</v>
      </c>
      <c r="EY319">
        <v>0</v>
      </c>
      <c r="FQ319">
        <v>0</v>
      </c>
      <c r="FR319">
        <f t="shared" si="282"/>
        <v>0</v>
      </c>
      <c r="FS319">
        <v>0</v>
      </c>
      <c r="FX319">
        <v>70</v>
      </c>
      <c r="FY319">
        <v>10</v>
      </c>
      <c r="GA319" t="s">
        <v>3</v>
      </c>
      <c r="GD319">
        <v>0</v>
      </c>
      <c r="GF319">
        <v>373109242</v>
      </c>
      <c r="GG319">
        <v>2</v>
      </c>
      <c r="GH319">
        <v>1</v>
      </c>
      <c r="GI319">
        <v>-2</v>
      </c>
      <c r="GJ319">
        <v>0</v>
      </c>
      <c r="GK319">
        <f>ROUND(R319*(R12)/100,2)</f>
        <v>0.05</v>
      </c>
      <c r="GL319">
        <f t="shared" si="283"/>
        <v>0</v>
      </c>
      <c r="GM319">
        <f t="shared" si="284"/>
        <v>1510.13</v>
      </c>
      <c r="GN319">
        <f t="shared" si="285"/>
        <v>0</v>
      </c>
      <c r="GO319">
        <f t="shared" si="286"/>
        <v>0</v>
      </c>
      <c r="GP319">
        <f t="shared" si="287"/>
        <v>1510.13</v>
      </c>
      <c r="GR319">
        <v>0</v>
      </c>
      <c r="GS319">
        <v>3</v>
      </c>
      <c r="GT319">
        <v>0</v>
      </c>
      <c r="GU319" t="s">
        <v>3</v>
      </c>
      <c r="GV319">
        <f t="shared" si="288"/>
        <v>0</v>
      </c>
      <c r="GW319">
        <v>1</v>
      </c>
      <c r="GX319">
        <f t="shared" si="289"/>
        <v>0</v>
      </c>
      <c r="HA319">
        <v>0</v>
      </c>
      <c r="HB319">
        <v>0</v>
      </c>
      <c r="HC319">
        <f t="shared" si="290"/>
        <v>0</v>
      </c>
      <c r="HE319" t="s">
        <v>3</v>
      </c>
      <c r="HF319" t="s">
        <v>3</v>
      </c>
      <c r="HM319" t="s">
        <v>3</v>
      </c>
      <c r="HN319" t="s">
        <v>3</v>
      </c>
      <c r="HO319" t="s">
        <v>3</v>
      </c>
      <c r="HP319" t="s">
        <v>3</v>
      </c>
      <c r="HQ319" t="s">
        <v>3</v>
      </c>
      <c r="IK319">
        <v>0</v>
      </c>
    </row>
    <row r="320" spans="1:245" x14ac:dyDescent="0.2">
      <c r="A320">
        <v>17</v>
      </c>
      <c r="B320">
        <v>1</v>
      </c>
      <c r="D320">
        <f>ROW(EtalonRes!A184)</f>
        <v>184</v>
      </c>
      <c r="E320" t="s">
        <v>3</v>
      </c>
      <c r="F320" t="s">
        <v>267</v>
      </c>
      <c r="G320" t="s">
        <v>268</v>
      </c>
      <c r="H320" t="s">
        <v>18</v>
      </c>
      <c r="I320">
        <f>ROUND(2*4/10,9)</f>
        <v>0.8</v>
      </c>
      <c r="J320">
        <v>0</v>
      </c>
      <c r="K320">
        <f>ROUND(2*4/10,9)</f>
        <v>0.8</v>
      </c>
      <c r="O320">
        <f t="shared" si="258"/>
        <v>462.8</v>
      </c>
      <c r="P320">
        <f t="shared" si="259"/>
        <v>1.24</v>
      </c>
      <c r="Q320">
        <f t="shared" si="260"/>
        <v>2.96</v>
      </c>
      <c r="R320">
        <f t="shared" si="261"/>
        <v>0.04</v>
      </c>
      <c r="S320">
        <f t="shared" si="262"/>
        <v>458.6</v>
      </c>
      <c r="T320">
        <f t="shared" si="263"/>
        <v>0</v>
      </c>
      <c r="U320">
        <f t="shared" si="264"/>
        <v>0.8</v>
      </c>
      <c r="V320">
        <f t="shared" si="265"/>
        <v>0</v>
      </c>
      <c r="W320">
        <f t="shared" si="266"/>
        <v>0</v>
      </c>
      <c r="X320">
        <f t="shared" si="267"/>
        <v>321.02</v>
      </c>
      <c r="Y320">
        <f t="shared" si="268"/>
        <v>45.86</v>
      </c>
      <c r="AA320">
        <v>-1</v>
      </c>
      <c r="AB320">
        <f t="shared" si="269"/>
        <v>578.5</v>
      </c>
      <c r="AC320">
        <f>ROUND(((ES320*5)),6)</f>
        <v>1.55</v>
      </c>
      <c r="AD320">
        <f>ROUND(((((ET320*5))-((EU320*5)))+AE320),6)</f>
        <v>3.7</v>
      </c>
      <c r="AE320">
        <f>ROUND(((EU320*5)),6)</f>
        <v>0.05</v>
      </c>
      <c r="AF320">
        <f>ROUND(((EV320*5)),6)</f>
        <v>573.25</v>
      </c>
      <c r="AG320">
        <f t="shared" si="270"/>
        <v>0</v>
      </c>
      <c r="AH320">
        <f>((EW320*5))</f>
        <v>1</v>
      </c>
      <c r="AI320">
        <f>((EX320*5))</f>
        <v>0</v>
      </c>
      <c r="AJ320">
        <f t="shared" si="271"/>
        <v>0</v>
      </c>
      <c r="AK320">
        <v>115.7</v>
      </c>
      <c r="AL320">
        <v>0.31</v>
      </c>
      <c r="AM320">
        <v>0.74</v>
      </c>
      <c r="AN320">
        <v>0.01</v>
      </c>
      <c r="AO320">
        <v>114.65</v>
      </c>
      <c r="AP320">
        <v>0</v>
      </c>
      <c r="AQ320">
        <v>0.2</v>
      </c>
      <c r="AR320">
        <v>0</v>
      </c>
      <c r="AS320">
        <v>0</v>
      </c>
      <c r="AT320">
        <v>70</v>
      </c>
      <c r="AU320">
        <v>10</v>
      </c>
      <c r="AV320">
        <v>1</v>
      </c>
      <c r="AW320">
        <v>1</v>
      </c>
      <c r="AZ320">
        <v>1</v>
      </c>
      <c r="BA320">
        <v>1</v>
      </c>
      <c r="BB320">
        <v>1</v>
      </c>
      <c r="BC320">
        <v>1</v>
      </c>
      <c r="BD320" t="s">
        <v>3</v>
      </c>
      <c r="BE320" t="s">
        <v>3</v>
      </c>
      <c r="BF320" t="s">
        <v>3</v>
      </c>
      <c r="BG320" t="s">
        <v>3</v>
      </c>
      <c r="BH320">
        <v>0</v>
      </c>
      <c r="BI320">
        <v>4</v>
      </c>
      <c r="BJ320" t="s">
        <v>269</v>
      </c>
      <c r="BM320">
        <v>0</v>
      </c>
      <c r="BN320">
        <v>0</v>
      </c>
      <c r="BO320" t="s">
        <v>3</v>
      </c>
      <c r="BP320">
        <v>0</v>
      </c>
      <c r="BQ320">
        <v>1</v>
      </c>
      <c r="BR320">
        <v>0</v>
      </c>
      <c r="BS320">
        <v>1</v>
      </c>
      <c r="BT320">
        <v>1</v>
      </c>
      <c r="BU320">
        <v>1</v>
      </c>
      <c r="BV320">
        <v>1</v>
      </c>
      <c r="BW320">
        <v>1</v>
      </c>
      <c r="BX320">
        <v>1</v>
      </c>
      <c r="BY320" t="s">
        <v>3</v>
      </c>
      <c r="BZ320">
        <v>70</v>
      </c>
      <c r="CA320">
        <v>10</v>
      </c>
      <c r="CB320" t="s">
        <v>3</v>
      </c>
      <c r="CE320">
        <v>0</v>
      </c>
      <c r="CF320">
        <v>0</v>
      </c>
      <c r="CG320">
        <v>0</v>
      </c>
      <c r="CM320">
        <v>0</v>
      </c>
      <c r="CN320" t="s">
        <v>3</v>
      </c>
      <c r="CO320">
        <v>0</v>
      </c>
      <c r="CP320">
        <f t="shared" si="272"/>
        <v>462.8</v>
      </c>
      <c r="CQ320">
        <f t="shared" si="273"/>
        <v>1.55</v>
      </c>
      <c r="CR320">
        <f>(((((ET320*5))*BB320-((EU320*5))*BS320)+AE320*BS320)*AV320)</f>
        <v>3.7</v>
      </c>
      <c r="CS320">
        <f t="shared" si="274"/>
        <v>0.05</v>
      </c>
      <c r="CT320">
        <f t="shared" si="275"/>
        <v>573.25</v>
      </c>
      <c r="CU320">
        <f t="shared" si="276"/>
        <v>0</v>
      </c>
      <c r="CV320">
        <f t="shared" si="277"/>
        <v>1</v>
      </c>
      <c r="CW320">
        <f t="shared" si="278"/>
        <v>0</v>
      </c>
      <c r="CX320">
        <f t="shared" si="279"/>
        <v>0</v>
      </c>
      <c r="CY320">
        <f t="shared" si="280"/>
        <v>321.02</v>
      </c>
      <c r="CZ320">
        <f t="shared" si="281"/>
        <v>45.86</v>
      </c>
      <c r="DC320" t="s">
        <v>3</v>
      </c>
      <c r="DD320" t="s">
        <v>152</v>
      </c>
      <c r="DE320" t="s">
        <v>152</v>
      </c>
      <c r="DF320" t="s">
        <v>152</v>
      </c>
      <c r="DG320" t="s">
        <v>152</v>
      </c>
      <c r="DH320" t="s">
        <v>3</v>
      </c>
      <c r="DI320" t="s">
        <v>152</v>
      </c>
      <c r="DJ320" t="s">
        <v>152</v>
      </c>
      <c r="DK320" t="s">
        <v>3</v>
      </c>
      <c r="DL320" t="s">
        <v>3</v>
      </c>
      <c r="DM320" t="s">
        <v>3</v>
      </c>
      <c r="DN320">
        <v>0</v>
      </c>
      <c r="DO320">
        <v>0</v>
      </c>
      <c r="DP320">
        <v>1</v>
      </c>
      <c r="DQ320">
        <v>1</v>
      </c>
      <c r="DU320">
        <v>16987630</v>
      </c>
      <c r="DV320" t="s">
        <v>18</v>
      </c>
      <c r="DW320" t="s">
        <v>18</v>
      </c>
      <c r="DX320">
        <v>10</v>
      </c>
      <c r="DZ320" t="s">
        <v>3</v>
      </c>
      <c r="EA320" t="s">
        <v>3</v>
      </c>
      <c r="EB320" t="s">
        <v>3</v>
      </c>
      <c r="EC320" t="s">
        <v>3</v>
      </c>
      <c r="EE320">
        <v>1441815344</v>
      </c>
      <c r="EF320">
        <v>1</v>
      </c>
      <c r="EG320" t="s">
        <v>21</v>
      </c>
      <c r="EH320">
        <v>0</v>
      </c>
      <c r="EI320" t="s">
        <v>3</v>
      </c>
      <c r="EJ320">
        <v>4</v>
      </c>
      <c r="EK320">
        <v>0</v>
      </c>
      <c r="EL320" t="s">
        <v>22</v>
      </c>
      <c r="EM320" t="s">
        <v>23</v>
      </c>
      <c r="EO320" t="s">
        <v>3</v>
      </c>
      <c r="EQ320">
        <v>1024</v>
      </c>
      <c r="ER320">
        <v>115.7</v>
      </c>
      <c r="ES320">
        <v>0.31</v>
      </c>
      <c r="ET320">
        <v>0.74</v>
      </c>
      <c r="EU320">
        <v>0.01</v>
      </c>
      <c r="EV320">
        <v>114.65</v>
      </c>
      <c r="EW320">
        <v>0.2</v>
      </c>
      <c r="EX320">
        <v>0</v>
      </c>
      <c r="EY320">
        <v>0</v>
      </c>
      <c r="FQ320">
        <v>0</v>
      </c>
      <c r="FR320">
        <f t="shared" si="282"/>
        <v>0</v>
      </c>
      <c r="FS320">
        <v>0</v>
      </c>
      <c r="FX320">
        <v>70</v>
      </c>
      <c r="FY320">
        <v>10</v>
      </c>
      <c r="GA320" t="s">
        <v>3</v>
      </c>
      <c r="GD320">
        <v>0</v>
      </c>
      <c r="GF320">
        <v>-565925046</v>
      </c>
      <c r="GG320">
        <v>2</v>
      </c>
      <c r="GH320">
        <v>1</v>
      </c>
      <c r="GI320">
        <v>-2</v>
      </c>
      <c r="GJ320">
        <v>0</v>
      </c>
      <c r="GK320">
        <f>ROUND(R320*(R12)/100,2)</f>
        <v>0.04</v>
      </c>
      <c r="GL320">
        <f t="shared" si="283"/>
        <v>0</v>
      </c>
      <c r="GM320">
        <f t="shared" si="284"/>
        <v>829.72</v>
      </c>
      <c r="GN320">
        <f t="shared" si="285"/>
        <v>0</v>
      </c>
      <c r="GO320">
        <f t="shared" si="286"/>
        <v>0</v>
      </c>
      <c r="GP320">
        <f t="shared" si="287"/>
        <v>829.72</v>
      </c>
      <c r="GR320">
        <v>0</v>
      </c>
      <c r="GS320">
        <v>3</v>
      </c>
      <c r="GT320">
        <v>0</v>
      </c>
      <c r="GU320" t="s">
        <v>3</v>
      </c>
      <c r="GV320">
        <f t="shared" si="288"/>
        <v>0</v>
      </c>
      <c r="GW320">
        <v>1</v>
      </c>
      <c r="GX320">
        <f t="shared" si="289"/>
        <v>0</v>
      </c>
      <c r="HA320">
        <v>0</v>
      </c>
      <c r="HB320">
        <v>0</v>
      </c>
      <c r="HC320">
        <f t="shared" si="290"/>
        <v>0</v>
      </c>
      <c r="HE320" t="s">
        <v>3</v>
      </c>
      <c r="HF320" t="s">
        <v>3</v>
      </c>
      <c r="HM320" t="s">
        <v>3</v>
      </c>
      <c r="HN320" t="s">
        <v>3</v>
      </c>
      <c r="HO320" t="s">
        <v>3</v>
      </c>
      <c r="HP320" t="s">
        <v>3</v>
      </c>
      <c r="HQ320" t="s">
        <v>3</v>
      </c>
      <c r="IK320">
        <v>0</v>
      </c>
    </row>
    <row r="321" spans="1:245" x14ac:dyDescent="0.2">
      <c r="A321">
        <v>17</v>
      </c>
      <c r="B321">
        <v>1</v>
      </c>
      <c r="D321">
        <f>ROW(EtalonRes!A187)</f>
        <v>187</v>
      </c>
      <c r="E321" t="s">
        <v>3</v>
      </c>
      <c r="F321" t="s">
        <v>185</v>
      </c>
      <c r="G321" t="s">
        <v>186</v>
      </c>
      <c r="H321" t="s">
        <v>31</v>
      </c>
      <c r="I321">
        <f>ROUND((3*13)/100,9)</f>
        <v>0.39</v>
      </c>
      <c r="J321">
        <v>0</v>
      </c>
      <c r="K321">
        <f>ROUND((3*13)/100,9)</f>
        <v>0.39</v>
      </c>
      <c r="O321">
        <f t="shared" si="258"/>
        <v>21644.94</v>
      </c>
      <c r="P321">
        <f t="shared" si="259"/>
        <v>3907.04</v>
      </c>
      <c r="Q321">
        <f t="shared" si="260"/>
        <v>0</v>
      </c>
      <c r="R321">
        <f t="shared" si="261"/>
        <v>0</v>
      </c>
      <c r="S321">
        <f t="shared" si="262"/>
        <v>17737.900000000001</v>
      </c>
      <c r="T321">
        <f t="shared" si="263"/>
        <v>0</v>
      </c>
      <c r="U321">
        <f t="shared" si="264"/>
        <v>54.463499999999996</v>
      </c>
      <c r="V321">
        <f t="shared" si="265"/>
        <v>0</v>
      </c>
      <c r="W321">
        <f t="shared" si="266"/>
        <v>0</v>
      </c>
      <c r="X321">
        <f t="shared" si="267"/>
        <v>12416.53</v>
      </c>
      <c r="Y321">
        <f t="shared" si="268"/>
        <v>1773.79</v>
      </c>
      <c r="AA321">
        <v>-1</v>
      </c>
      <c r="AB321">
        <f t="shared" si="269"/>
        <v>55499.85</v>
      </c>
      <c r="AC321">
        <f>ROUND(((ES321*245)),6)</f>
        <v>10018.049999999999</v>
      </c>
      <c r="AD321">
        <f>ROUND((((ET321)-(EU321))+AE321),6)</f>
        <v>0</v>
      </c>
      <c r="AE321">
        <f>ROUND((EU321),6)</f>
        <v>0</v>
      </c>
      <c r="AF321">
        <f>ROUND(((EV321*245)),6)</f>
        <v>45481.8</v>
      </c>
      <c r="AG321">
        <f t="shared" si="270"/>
        <v>0</v>
      </c>
      <c r="AH321">
        <f>((EW321*245))</f>
        <v>139.64999999999998</v>
      </c>
      <c r="AI321">
        <f>(EX321)</f>
        <v>0</v>
      </c>
      <c r="AJ321">
        <f t="shared" si="271"/>
        <v>0</v>
      </c>
      <c r="AK321">
        <v>226.53</v>
      </c>
      <c r="AL321">
        <v>40.89</v>
      </c>
      <c r="AM321">
        <v>0</v>
      </c>
      <c r="AN321">
        <v>0</v>
      </c>
      <c r="AO321">
        <v>185.64</v>
      </c>
      <c r="AP321">
        <v>0</v>
      </c>
      <c r="AQ321">
        <v>0.56999999999999995</v>
      </c>
      <c r="AR321">
        <v>0</v>
      </c>
      <c r="AS321">
        <v>0</v>
      </c>
      <c r="AT321">
        <v>70</v>
      </c>
      <c r="AU321">
        <v>10</v>
      </c>
      <c r="AV321">
        <v>1</v>
      </c>
      <c r="AW321">
        <v>1</v>
      </c>
      <c r="AZ321">
        <v>1</v>
      </c>
      <c r="BA321">
        <v>1</v>
      </c>
      <c r="BB321">
        <v>1</v>
      </c>
      <c r="BC321">
        <v>1</v>
      </c>
      <c r="BD321" t="s">
        <v>3</v>
      </c>
      <c r="BE321" t="s">
        <v>3</v>
      </c>
      <c r="BF321" t="s">
        <v>3</v>
      </c>
      <c r="BG321" t="s">
        <v>3</v>
      </c>
      <c r="BH321">
        <v>0</v>
      </c>
      <c r="BI321">
        <v>4</v>
      </c>
      <c r="BJ321" t="s">
        <v>187</v>
      </c>
      <c r="BM321">
        <v>0</v>
      </c>
      <c r="BN321">
        <v>0</v>
      </c>
      <c r="BO321" t="s">
        <v>3</v>
      </c>
      <c r="BP321">
        <v>0</v>
      </c>
      <c r="BQ321">
        <v>1</v>
      </c>
      <c r="BR321">
        <v>0</v>
      </c>
      <c r="BS321">
        <v>1</v>
      </c>
      <c r="BT321">
        <v>1</v>
      </c>
      <c r="BU321">
        <v>1</v>
      </c>
      <c r="BV321">
        <v>1</v>
      </c>
      <c r="BW321">
        <v>1</v>
      </c>
      <c r="BX321">
        <v>1</v>
      </c>
      <c r="BY321" t="s">
        <v>3</v>
      </c>
      <c r="BZ321">
        <v>70</v>
      </c>
      <c r="CA321">
        <v>10</v>
      </c>
      <c r="CB321" t="s">
        <v>3</v>
      </c>
      <c r="CE321">
        <v>0</v>
      </c>
      <c r="CF321">
        <v>0</v>
      </c>
      <c r="CG321">
        <v>0</v>
      </c>
      <c r="CM321">
        <v>0</v>
      </c>
      <c r="CN321" t="s">
        <v>3</v>
      </c>
      <c r="CO321">
        <v>0</v>
      </c>
      <c r="CP321">
        <f t="shared" si="272"/>
        <v>21644.940000000002</v>
      </c>
      <c r="CQ321">
        <f t="shared" si="273"/>
        <v>10018.049999999999</v>
      </c>
      <c r="CR321">
        <f>((((ET321)*BB321-(EU321)*BS321)+AE321*BS321)*AV321)</f>
        <v>0</v>
      </c>
      <c r="CS321">
        <f t="shared" si="274"/>
        <v>0</v>
      </c>
      <c r="CT321">
        <f t="shared" si="275"/>
        <v>45481.8</v>
      </c>
      <c r="CU321">
        <f t="shared" si="276"/>
        <v>0</v>
      </c>
      <c r="CV321">
        <f t="shared" si="277"/>
        <v>139.64999999999998</v>
      </c>
      <c r="CW321">
        <f t="shared" si="278"/>
        <v>0</v>
      </c>
      <c r="CX321">
        <f t="shared" si="279"/>
        <v>0</v>
      </c>
      <c r="CY321">
        <f t="shared" si="280"/>
        <v>12416.53</v>
      </c>
      <c r="CZ321">
        <f t="shared" si="281"/>
        <v>1773.79</v>
      </c>
      <c r="DC321" t="s">
        <v>3</v>
      </c>
      <c r="DD321" t="s">
        <v>82</v>
      </c>
      <c r="DE321" t="s">
        <v>3</v>
      </c>
      <c r="DF321" t="s">
        <v>3</v>
      </c>
      <c r="DG321" t="s">
        <v>82</v>
      </c>
      <c r="DH321" t="s">
        <v>3</v>
      </c>
      <c r="DI321" t="s">
        <v>82</v>
      </c>
      <c r="DJ321" t="s">
        <v>3</v>
      </c>
      <c r="DK321" t="s">
        <v>3</v>
      </c>
      <c r="DL321" t="s">
        <v>3</v>
      </c>
      <c r="DM321" t="s">
        <v>3</v>
      </c>
      <c r="DN321">
        <v>0</v>
      </c>
      <c r="DO321">
        <v>0</v>
      </c>
      <c r="DP321">
        <v>1</v>
      </c>
      <c r="DQ321">
        <v>1</v>
      </c>
      <c r="DU321">
        <v>16987630</v>
      </c>
      <c r="DV321" t="s">
        <v>31</v>
      </c>
      <c r="DW321" t="s">
        <v>31</v>
      </c>
      <c r="DX321">
        <v>100</v>
      </c>
      <c r="DZ321" t="s">
        <v>3</v>
      </c>
      <c r="EA321" t="s">
        <v>3</v>
      </c>
      <c r="EB321" t="s">
        <v>3</v>
      </c>
      <c r="EC321" t="s">
        <v>3</v>
      </c>
      <c r="EE321">
        <v>1441815344</v>
      </c>
      <c r="EF321">
        <v>1</v>
      </c>
      <c r="EG321" t="s">
        <v>21</v>
      </c>
      <c r="EH321">
        <v>0</v>
      </c>
      <c r="EI321" t="s">
        <v>3</v>
      </c>
      <c r="EJ321">
        <v>4</v>
      </c>
      <c r="EK321">
        <v>0</v>
      </c>
      <c r="EL321" t="s">
        <v>22</v>
      </c>
      <c r="EM321" t="s">
        <v>23</v>
      </c>
      <c r="EO321" t="s">
        <v>3</v>
      </c>
      <c r="EQ321">
        <v>1024</v>
      </c>
      <c r="ER321">
        <v>226.53</v>
      </c>
      <c r="ES321">
        <v>40.89</v>
      </c>
      <c r="ET321">
        <v>0</v>
      </c>
      <c r="EU321">
        <v>0</v>
      </c>
      <c r="EV321">
        <v>185.64</v>
      </c>
      <c r="EW321">
        <v>0.56999999999999995</v>
      </c>
      <c r="EX321">
        <v>0</v>
      </c>
      <c r="EY321">
        <v>0</v>
      </c>
      <c r="FQ321">
        <v>0</v>
      </c>
      <c r="FR321">
        <f t="shared" si="282"/>
        <v>0</v>
      </c>
      <c r="FS321">
        <v>0</v>
      </c>
      <c r="FX321">
        <v>70</v>
      </c>
      <c r="FY321">
        <v>10</v>
      </c>
      <c r="GA321" t="s">
        <v>3</v>
      </c>
      <c r="GD321">
        <v>0</v>
      </c>
      <c r="GF321">
        <v>1227685482</v>
      </c>
      <c r="GG321">
        <v>2</v>
      </c>
      <c r="GH321">
        <v>1</v>
      </c>
      <c r="GI321">
        <v>-2</v>
      </c>
      <c r="GJ321">
        <v>0</v>
      </c>
      <c r="GK321">
        <f>ROUND(R321*(R12)/100,2)</f>
        <v>0</v>
      </c>
      <c r="GL321">
        <f t="shared" si="283"/>
        <v>0</v>
      </c>
      <c r="GM321">
        <f t="shared" si="284"/>
        <v>35835.26</v>
      </c>
      <c r="GN321">
        <f t="shared" si="285"/>
        <v>0</v>
      </c>
      <c r="GO321">
        <f t="shared" si="286"/>
        <v>0</v>
      </c>
      <c r="GP321">
        <f t="shared" si="287"/>
        <v>35835.26</v>
      </c>
      <c r="GR321">
        <v>0</v>
      </c>
      <c r="GS321">
        <v>3</v>
      </c>
      <c r="GT321">
        <v>0</v>
      </c>
      <c r="GU321" t="s">
        <v>3</v>
      </c>
      <c r="GV321">
        <f t="shared" si="288"/>
        <v>0</v>
      </c>
      <c r="GW321">
        <v>1</v>
      </c>
      <c r="GX321">
        <f t="shared" si="289"/>
        <v>0</v>
      </c>
      <c r="HA321">
        <v>0</v>
      </c>
      <c r="HB321">
        <v>0</v>
      </c>
      <c r="HC321">
        <f t="shared" si="290"/>
        <v>0</v>
      </c>
      <c r="HE321" t="s">
        <v>3</v>
      </c>
      <c r="HF321" t="s">
        <v>3</v>
      </c>
      <c r="HM321" t="s">
        <v>3</v>
      </c>
      <c r="HN321" t="s">
        <v>3</v>
      </c>
      <c r="HO321" t="s">
        <v>3</v>
      </c>
      <c r="HP321" t="s">
        <v>3</v>
      </c>
      <c r="HQ321" t="s">
        <v>3</v>
      </c>
      <c r="IK321">
        <v>0</v>
      </c>
    </row>
    <row r="322" spans="1:245" x14ac:dyDescent="0.2">
      <c r="A322">
        <v>17</v>
      </c>
      <c r="B322">
        <v>1</v>
      </c>
      <c r="D322">
        <f>ROW(EtalonRes!A189)</f>
        <v>189</v>
      </c>
      <c r="E322" t="s">
        <v>3</v>
      </c>
      <c r="F322" t="s">
        <v>189</v>
      </c>
      <c r="G322" t="s">
        <v>190</v>
      </c>
      <c r="H322" t="s">
        <v>39</v>
      </c>
      <c r="I322">
        <f>ROUND(3*13,9)</f>
        <v>39</v>
      </c>
      <c r="J322">
        <v>0</v>
      </c>
      <c r="K322">
        <f>ROUND(3*13,9)</f>
        <v>39</v>
      </c>
      <c r="O322">
        <f t="shared" si="258"/>
        <v>7043.01</v>
      </c>
      <c r="P322">
        <f t="shared" si="259"/>
        <v>322.14</v>
      </c>
      <c r="Q322">
        <f t="shared" si="260"/>
        <v>0</v>
      </c>
      <c r="R322">
        <f t="shared" si="261"/>
        <v>0</v>
      </c>
      <c r="S322">
        <f t="shared" si="262"/>
        <v>6720.87</v>
      </c>
      <c r="T322">
        <f t="shared" si="263"/>
        <v>0</v>
      </c>
      <c r="U322">
        <f t="shared" si="264"/>
        <v>13.260000000000002</v>
      </c>
      <c r="V322">
        <f t="shared" si="265"/>
        <v>0</v>
      </c>
      <c r="W322">
        <f t="shared" si="266"/>
        <v>0</v>
      </c>
      <c r="X322">
        <f t="shared" si="267"/>
        <v>4704.6099999999997</v>
      </c>
      <c r="Y322">
        <f t="shared" si="268"/>
        <v>672.09</v>
      </c>
      <c r="AA322">
        <v>-1</v>
      </c>
      <c r="AB322">
        <f t="shared" si="269"/>
        <v>180.59</v>
      </c>
      <c r="AC322">
        <f>ROUND((ES322),6)</f>
        <v>8.26</v>
      </c>
      <c r="AD322">
        <f>ROUND((((ET322)-(EU322))+AE322),6)</f>
        <v>0</v>
      </c>
      <c r="AE322">
        <f>ROUND((EU322),6)</f>
        <v>0</v>
      </c>
      <c r="AF322">
        <f>ROUND((EV322),6)</f>
        <v>172.33</v>
      </c>
      <c r="AG322">
        <f t="shared" si="270"/>
        <v>0</v>
      </c>
      <c r="AH322">
        <f>(EW322)</f>
        <v>0.34</v>
      </c>
      <c r="AI322">
        <f>(EX322)</f>
        <v>0</v>
      </c>
      <c r="AJ322">
        <f t="shared" si="271"/>
        <v>0</v>
      </c>
      <c r="AK322">
        <v>180.59</v>
      </c>
      <c r="AL322">
        <v>8.26</v>
      </c>
      <c r="AM322">
        <v>0</v>
      </c>
      <c r="AN322">
        <v>0</v>
      </c>
      <c r="AO322">
        <v>172.33</v>
      </c>
      <c r="AP322">
        <v>0</v>
      </c>
      <c r="AQ322">
        <v>0.34</v>
      </c>
      <c r="AR322">
        <v>0</v>
      </c>
      <c r="AS322">
        <v>0</v>
      </c>
      <c r="AT322">
        <v>70</v>
      </c>
      <c r="AU322">
        <v>10</v>
      </c>
      <c r="AV322">
        <v>1</v>
      </c>
      <c r="AW322">
        <v>1</v>
      </c>
      <c r="AZ322">
        <v>1</v>
      </c>
      <c r="BA322">
        <v>1</v>
      </c>
      <c r="BB322">
        <v>1</v>
      </c>
      <c r="BC322">
        <v>1</v>
      </c>
      <c r="BD322" t="s">
        <v>3</v>
      </c>
      <c r="BE322" t="s">
        <v>3</v>
      </c>
      <c r="BF322" t="s">
        <v>3</v>
      </c>
      <c r="BG322" t="s">
        <v>3</v>
      </c>
      <c r="BH322">
        <v>0</v>
      </c>
      <c r="BI322">
        <v>4</v>
      </c>
      <c r="BJ322" t="s">
        <v>191</v>
      </c>
      <c r="BM322">
        <v>0</v>
      </c>
      <c r="BN322">
        <v>0</v>
      </c>
      <c r="BO322" t="s">
        <v>3</v>
      </c>
      <c r="BP322">
        <v>0</v>
      </c>
      <c r="BQ322">
        <v>1</v>
      </c>
      <c r="BR322">
        <v>0</v>
      </c>
      <c r="BS322">
        <v>1</v>
      </c>
      <c r="BT322">
        <v>1</v>
      </c>
      <c r="BU322">
        <v>1</v>
      </c>
      <c r="BV322">
        <v>1</v>
      </c>
      <c r="BW322">
        <v>1</v>
      </c>
      <c r="BX322">
        <v>1</v>
      </c>
      <c r="BY322" t="s">
        <v>3</v>
      </c>
      <c r="BZ322">
        <v>70</v>
      </c>
      <c r="CA322">
        <v>10</v>
      </c>
      <c r="CB322" t="s">
        <v>3</v>
      </c>
      <c r="CE322">
        <v>0</v>
      </c>
      <c r="CF322">
        <v>0</v>
      </c>
      <c r="CG322">
        <v>0</v>
      </c>
      <c r="CM322">
        <v>0</v>
      </c>
      <c r="CN322" t="s">
        <v>3</v>
      </c>
      <c r="CO322">
        <v>0</v>
      </c>
      <c r="CP322">
        <f t="shared" si="272"/>
        <v>7043.01</v>
      </c>
      <c r="CQ322">
        <f t="shared" si="273"/>
        <v>8.26</v>
      </c>
      <c r="CR322">
        <f>((((ET322)*BB322-(EU322)*BS322)+AE322*BS322)*AV322)</f>
        <v>0</v>
      </c>
      <c r="CS322">
        <f t="shared" si="274"/>
        <v>0</v>
      </c>
      <c r="CT322">
        <f t="shared" si="275"/>
        <v>172.33</v>
      </c>
      <c r="CU322">
        <f t="shared" si="276"/>
        <v>0</v>
      </c>
      <c r="CV322">
        <f t="shared" si="277"/>
        <v>0.34</v>
      </c>
      <c r="CW322">
        <f t="shared" si="278"/>
        <v>0</v>
      </c>
      <c r="CX322">
        <f t="shared" si="279"/>
        <v>0</v>
      </c>
      <c r="CY322">
        <f t="shared" si="280"/>
        <v>4704.6089999999995</v>
      </c>
      <c r="CZ322">
        <f t="shared" si="281"/>
        <v>672.08699999999999</v>
      </c>
      <c r="DC322" t="s">
        <v>3</v>
      </c>
      <c r="DD322" t="s">
        <v>3</v>
      </c>
      <c r="DE322" t="s">
        <v>3</v>
      </c>
      <c r="DF322" t="s">
        <v>3</v>
      </c>
      <c r="DG322" t="s">
        <v>3</v>
      </c>
      <c r="DH322" t="s">
        <v>3</v>
      </c>
      <c r="DI322" t="s">
        <v>3</v>
      </c>
      <c r="DJ322" t="s">
        <v>3</v>
      </c>
      <c r="DK322" t="s">
        <v>3</v>
      </c>
      <c r="DL322" t="s">
        <v>3</v>
      </c>
      <c r="DM322" t="s">
        <v>3</v>
      </c>
      <c r="DN322">
        <v>0</v>
      </c>
      <c r="DO322">
        <v>0</v>
      </c>
      <c r="DP322">
        <v>1</v>
      </c>
      <c r="DQ322">
        <v>1</v>
      </c>
      <c r="DU322">
        <v>16987630</v>
      </c>
      <c r="DV322" t="s">
        <v>39</v>
      </c>
      <c r="DW322" t="s">
        <v>39</v>
      </c>
      <c r="DX322">
        <v>1</v>
      </c>
      <c r="DZ322" t="s">
        <v>3</v>
      </c>
      <c r="EA322" t="s">
        <v>3</v>
      </c>
      <c r="EB322" t="s">
        <v>3</v>
      </c>
      <c r="EC322" t="s">
        <v>3</v>
      </c>
      <c r="EE322">
        <v>1441815344</v>
      </c>
      <c r="EF322">
        <v>1</v>
      </c>
      <c r="EG322" t="s">
        <v>21</v>
      </c>
      <c r="EH322">
        <v>0</v>
      </c>
      <c r="EI322" t="s">
        <v>3</v>
      </c>
      <c r="EJ322">
        <v>4</v>
      </c>
      <c r="EK322">
        <v>0</v>
      </c>
      <c r="EL322" t="s">
        <v>22</v>
      </c>
      <c r="EM322" t="s">
        <v>23</v>
      </c>
      <c r="EO322" t="s">
        <v>3</v>
      </c>
      <c r="EQ322">
        <v>1024</v>
      </c>
      <c r="ER322">
        <v>180.59</v>
      </c>
      <c r="ES322">
        <v>8.26</v>
      </c>
      <c r="ET322">
        <v>0</v>
      </c>
      <c r="EU322">
        <v>0</v>
      </c>
      <c r="EV322">
        <v>172.33</v>
      </c>
      <c r="EW322">
        <v>0.34</v>
      </c>
      <c r="EX322">
        <v>0</v>
      </c>
      <c r="EY322">
        <v>0</v>
      </c>
      <c r="FQ322">
        <v>0</v>
      </c>
      <c r="FR322">
        <f t="shared" si="282"/>
        <v>0</v>
      </c>
      <c r="FS322">
        <v>0</v>
      </c>
      <c r="FX322">
        <v>70</v>
      </c>
      <c r="FY322">
        <v>10</v>
      </c>
      <c r="GA322" t="s">
        <v>3</v>
      </c>
      <c r="GD322">
        <v>0</v>
      </c>
      <c r="GF322">
        <v>771280347</v>
      </c>
      <c r="GG322">
        <v>2</v>
      </c>
      <c r="GH322">
        <v>1</v>
      </c>
      <c r="GI322">
        <v>-2</v>
      </c>
      <c r="GJ322">
        <v>0</v>
      </c>
      <c r="GK322">
        <f>ROUND(R322*(R12)/100,2)</f>
        <v>0</v>
      </c>
      <c r="GL322">
        <f t="shared" si="283"/>
        <v>0</v>
      </c>
      <c r="GM322">
        <f t="shared" si="284"/>
        <v>12419.71</v>
      </c>
      <c r="GN322">
        <f t="shared" si="285"/>
        <v>0</v>
      </c>
      <c r="GO322">
        <f t="shared" si="286"/>
        <v>0</v>
      </c>
      <c r="GP322">
        <f t="shared" si="287"/>
        <v>12419.71</v>
      </c>
      <c r="GR322">
        <v>0</v>
      </c>
      <c r="GS322">
        <v>3</v>
      </c>
      <c r="GT322">
        <v>0</v>
      </c>
      <c r="GU322" t="s">
        <v>3</v>
      </c>
      <c r="GV322">
        <f t="shared" si="288"/>
        <v>0</v>
      </c>
      <c r="GW322">
        <v>1</v>
      </c>
      <c r="GX322">
        <f t="shared" si="289"/>
        <v>0</v>
      </c>
      <c r="HA322">
        <v>0</v>
      </c>
      <c r="HB322">
        <v>0</v>
      </c>
      <c r="HC322">
        <f t="shared" si="290"/>
        <v>0</v>
      </c>
      <c r="HE322" t="s">
        <v>3</v>
      </c>
      <c r="HF322" t="s">
        <v>3</v>
      </c>
      <c r="HM322" t="s">
        <v>3</v>
      </c>
      <c r="HN322" t="s">
        <v>3</v>
      </c>
      <c r="HO322" t="s">
        <v>3</v>
      </c>
      <c r="HP322" t="s">
        <v>3</v>
      </c>
      <c r="HQ322" t="s">
        <v>3</v>
      </c>
      <c r="IK322">
        <v>0</v>
      </c>
    </row>
    <row r="323" spans="1:245" x14ac:dyDescent="0.2">
      <c r="A323">
        <v>17</v>
      </c>
      <c r="B323">
        <v>1</v>
      </c>
      <c r="D323">
        <f>ROW(EtalonRes!A191)</f>
        <v>191</v>
      </c>
      <c r="E323" t="s">
        <v>3</v>
      </c>
      <c r="F323" t="s">
        <v>193</v>
      </c>
      <c r="G323" t="s">
        <v>194</v>
      </c>
      <c r="H323" t="s">
        <v>39</v>
      </c>
      <c r="I323">
        <v>13</v>
      </c>
      <c r="J323">
        <v>0</v>
      </c>
      <c r="K323">
        <v>13</v>
      </c>
      <c r="O323">
        <f t="shared" si="258"/>
        <v>1384.47</v>
      </c>
      <c r="P323">
        <f t="shared" si="259"/>
        <v>16.38</v>
      </c>
      <c r="Q323">
        <f t="shared" si="260"/>
        <v>0</v>
      </c>
      <c r="R323">
        <f t="shared" si="261"/>
        <v>0</v>
      </c>
      <c r="S323">
        <f t="shared" si="262"/>
        <v>1368.09</v>
      </c>
      <c r="T323">
        <f t="shared" si="263"/>
        <v>0</v>
      </c>
      <c r="U323">
        <f t="shared" si="264"/>
        <v>2.4336000000000002</v>
      </c>
      <c r="V323">
        <f t="shared" si="265"/>
        <v>0</v>
      </c>
      <c r="W323">
        <f t="shared" si="266"/>
        <v>0</v>
      </c>
      <c r="X323">
        <f t="shared" si="267"/>
        <v>957.66</v>
      </c>
      <c r="Y323">
        <f t="shared" si="268"/>
        <v>136.81</v>
      </c>
      <c r="AA323">
        <v>-1</v>
      </c>
      <c r="AB323">
        <f t="shared" si="269"/>
        <v>106.49760000000001</v>
      </c>
      <c r="AC323">
        <f>ROUND((ES323),6)</f>
        <v>1.26</v>
      </c>
      <c r="AD323">
        <f>ROUND((((ET323)-(EU323))+AE323),6)</f>
        <v>0</v>
      </c>
      <c r="AE323">
        <f>ROUND((EU323),6)</f>
        <v>0</v>
      </c>
      <c r="AF323">
        <f>ROUND(((EV323*1.04)),6)</f>
        <v>105.2376</v>
      </c>
      <c r="AG323">
        <f t="shared" si="270"/>
        <v>0</v>
      </c>
      <c r="AH323">
        <f>((EW323*1.04))</f>
        <v>0.18720000000000001</v>
      </c>
      <c r="AI323">
        <f>(EX323)</f>
        <v>0</v>
      </c>
      <c r="AJ323">
        <f t="shared" si="271"/>
        <v>0</v>
      </c>
      <c r="AK323">
        <v>102.45</v>
      </c>
      <c r="AL323">
        <v>1.26</v>
      </c>
      <c r="AM323">
        <v>0</v>
      </c>
      <c r="AN323">
        <v>0</v>
      </c>
      <c r="AO323">
        <v>101.19</v>
      </c>
      <c r="AP323">
        <v>0</v>
      </c>
      <c r="AQ323">
        <v>0.18</v>
      </c>
      <c r="AR323">
        <v>0</v>
      </c>
      <c r="AS323">
        <v>0</v>
      </c>
      <c r="AT323">
        <v>70</v>
      </c>
      <c r="AU323">
        <v>10</v>
      </c>
      <c r="AV323">
        <v>1</v>
      </c>
      <c r="AW323">
        <v>1</v>
      </c>
      <c r="AZ323">
        <v>1</v>
      </c>
      <c r="BA323">
        <v>1</v>
      </c>
      <c r="BB323">
        <v>1</v>
      </c>
      <c r="BC323">
        <v>1</v>
      </c>
      <c r="BD323" t="s">
        <v>3</v>
      </c>
      <c r="BE323" t="s">
        <v>3</v>
      </c>
      <c r="BF323" t="s">
        <v>3</v>
      </c>
      <c r="BG323" t="s">
        <v>3</v>
      </c>
      <c r="BH323">
        <v>0</v>
      </c>
      <c r="BI323">
        <v>4</v>
      </c>
      <c r="BJ323" t="s">
        <v>195</v>
      </c>
      <c r="BM323">
        <v>0</v>
      </c>
      <c r="BN323">
        <v>0</v>
      </c>
      <c r="BO323" t="s">
        <v>3</v>
      </c>
      <c r="BP323">
        <v>0</v>
      </c>
      <c r="BQ323">
        <v>1</v>
      </c>
      <c r="BR323">
        <v>0</v>
      </c>
      <c r="BS323">
        <v>1</v>
      </c>
      <c r="BT323">
        <v>1</v>
      </c>
      <c r="BU323">
        <v>1</v>
      </c>
      <c r="BV323">
        <v>1</v>
      </c>
      <c r="BW323">
        <v>1</v>
      </c>
      <c r="BX323">
        <v>1</v>
      </c>
      <c r="BY323" t="s">
        <v>3</v>
      </c>
      <c r="BZ323">
        <v>70</v>
      </c>
      <c r="CA323">
        <v>10</v>
      </c>
      <c r="CB323" t="s">
        <v>3</v>
      </c>
      <c r="CE323">
        <v>0</v>
      </c>
      <c r="CF323">
        <v>0</v>
      </c>
      <c r="CG323">
        <v>0</v>
      </c>
      <c r="CM323">
        <v>0</v>
      </c>
      <c r="CN323" t="s">
        <v>196</v>
      </c>
      <c r="CO323">
        <v>0</v>
      </c>
      <c r="CP323">
        <f t="shared" si="272"/>
        <v>1384.47</v>
      </c>
      <c r="CQ323">
        <f t="shared" si="273"/>
        <v>1.26</v>
      </c>
      <c r="CR323">
        <f>((((ET323)*BB323-(EU323)*BS323)+AE323*BS323)*AV323)</f>
        <v>0</v>
      </c>
      <c r="CS323">
        <f t="shared" si="274"/>
        <v>0</v>
      </c>
      <c r="CT323">
        <f t="shared" si="275"/>
        <v>105.2376</v>
      </c>
      <c r="CU323">
        <f t="shared" si="276"/>
        <v>0</v>
      </c>
      <c r="CV323">
        <f t="shared" si="277"/>
        <v>0.18720000000000001</v>
      </c>
      <c r="CW323">
        <f t="shared" si="278"/>
        <v>0</v>
      </c>
      <c r="CX323">
        <f t="shared" si="279"/>
        <v>0</v>
      </c>
      <c r="CY323">
        <f t="shared" si="280"/>
        <v>957.6629999999999</v>
      </c>
      <c r="CZ323">
        <f t="shared" si="281"/>
        <v>136.809</v>
      </c>
      <c r="DC323" t="s">
        <v>3</v>
      </c>
      <c r="DD323" t="s">
        <v>3</v>
      </c>
      <c r="DE323" t="s">
        <v>3</v>
      </c>
      <c r="DF323" t="s">
        <v>3</v>
      </c>
      <c r="DG323" t="s">
        <v>197</v>
      </c>
      <c r="DH323" t="s">
        <v>3</v>
      </c>
      <c r="DI323" t="s">
        <v>197</v>
      </c>
      <c r="DJ323" t="s">
        <v>3</v>
      </c>
      <c r="DK323" t="s">
        <v>3</v>
      </c>
      <c r="DL323" t="s">
        <v>3</v>
      </c>
      <c r="DM323" t="s">
        <v>3</v>
      </c>
      <c r="DN323">
        <v>0</v>
      </c>
      <c r="DO323">
        <v>0</v>
      </c>
      <c r="DP323">
        <v>1</v>
      </c>
      <c r="DQ323">
        <v>1</v>
      </c>
      <c r="DU323">
        <v>16987630</v>
      </c>
      <c r="DV323" t="s">
        <v>39</v>
      </c>
      <c r="DW323" t="s">
        <v>39</v>
      </c>
      <c r="DX323">
        <v>1</v>
      </c>
      <c r="DZ323" t="s">
        <v>3</v>
      </c>
      <c r="EA323" t="s">
        <v>3</v>
      </c>
      <c r="EB323" t="s">
        <v>3</v>
      </c>
      <c r="EC323" t="s">
        <v>3</v>
      </c>
      <c r="EE323">
        <v>1441815344</v>
      </c>
      <c r="EF323">
        <v>1</v>
      </c>
      <c r="EG323" t="s">
        <v>21</v>
      </c>
      <c r="EH323">
        <v>0</v>
      </c>
      <c r="EI323" t="s">
        <v>3</v>
      </c>
      <c r="EJ323">
        <v>4</v>
      </c>
      <c r="EK323">
        <v>0</v>
      </c>
      <c r="EL323" t="s">
        <v>22</v>
      </c>
      <c r="EM323" t="s">
        <v>23</v>
      </c>
      <c r="EO323" t="s">
        <v>198</v>
      </c>
      <c r="EQ323">
        <v>1792</v>
      </c>
      <c r="ER323">
        <v>102.45</v>
      </c>
      <c r="ES323">
        <v>1.26</v>
      </c>
      <c r="ET323">
        <v>0</v>
      </c>
      <c r="EU323">
        <v>0</v>
      </c>
      <c r="EV323">
        <v>101.19</v>
      </c>
      <c r="EW323">
        <v>0.18</v>
      </c>
      <c r="EX323">
        <v>0</v>
      </c>
      <c r="EY323">
        <v>0</v>
      </c>
      <c r="FQ323">
        <v>0</v>
      </c>
      <c r="FR323">
        <f t="shared" si="282"/>
        <v>0</v>
      </c>
      <c r="FS323">
        <v>0</v>
      </c>
      <c r="FX323">
        <v>70</v>
      </c>
      <c r="FY323">
        <v>10</v>
      </c>
      <c r="GA323" t="s">
        <v>3</v>
      </c>
      <c r="GD323">
        <v>0</v>
      </c>
      <c r="GF323">
        <v>-74619418</v>
      </c>
      <c r="GG323">
        <v>2</v>
      </c>
      <c r="GH323">
        <v>1</v>
      </c>
      <c r="GI323">
        <v>-2</v>
      </c>
      <c r="GJ323">
        <v>0</v>
      </c>
      <c r="GK323">
        <f>ROUND(R323*(R12)/100,2)</f>
        <v>0</v>
      </c>
      <c r="GL323">
        <f t="shared" si="283"/>
        <v>0</v>
      </c>
      <c r="GM323">
        <f t="shared" si="284"/>
        <v>2478.94</v>
      </c>
      <c r="GN323">
        <f t="shared" si="285"/>
        <v>0</v>
      </c>
      <c r="GO323">
        <f t="shared" si="286"/>
        <v>0</v>
      </c>
      <c r="GP323">
        <f t="shared" si="287"/>
        <v>2478.94</v>
      </c>
      <c r="GR323">
        <v>0</v>
      </c>
      <c r="GS323">
        <v>3</v>
      </c>
      <c r="GT323">
        <v>0</v>
      </c>
      <c r="GU323" t="s">
        <v>3</v>
      </c>
      <c r="GV323">
        <f t="shared" si="288"/>
        <v>0</v>
      </c>
      <c r="GW323">
        <v>1</v>
      </c>
      <c r="GX323">
        <f t="shared" si="289"/>
        <v>0</v>
      </c>
      <c r="HA323">
        <v>0</v>
      </c>
      <c r="HB323">
        <v>0</v>
      </c>
      <c r="HC323">
        <f t="shared" si="290"/>
        <v>0</v>
      </c>
      <c r="HE323" t="s">
        <v>3</v>
      </c>
      <c r="HF323" t="s">
        <v>3</v>
      </c>
      <c r="HM323" t="s">
        <v>3</v>
      </c>
      <c r="HN323" t="s">
        <v>3</v>
      </c>
      <c r="HO323" t="s">
        <v>3</v>
      </c>
      <c r="HP323" t="s">
        <v>3</v>
      </c>
      <c r="HQ323" t="s">
        <v>3</v>
      </c>
      <c r="IK323">
        <v>0</v>
      </c>
    </row>
    <row r="324" spans="1:245" x14ac:dyDescent="0.2">
      <c r="A324">
        <v>17</v>
      </c>
      <c r="B324">
        <v>1</v>
      </c>
      <c r="D324">
        <f>ROW(EtalonRes!A193)</f>
        <v>193</v>
      </c>
      <c r="E324" t="s">
        <v>270</v>
      </c>
      <c r="F324" t="s">
        <v>200</v>
      </c>
      <c r="G324" t="s">
        <v>201</v>
      </c>
      <c r="H324" t="s">
        <v>39</v>
      </c>
      <c r="I324">
        <f>ROUND((3)*4,9)</f>
        <v>12</v>
      </c>
      <c r="J324">
        <v>0</v>
      </c>
      <c r="K324">
        <f>ROUND((3)*4,9)</f>
        <v>12</v>
      </c>
      <c r="O324">
        <f t="shared" si="258"/>
        <v>2112.31</v>
      </c>
      <c r="P324">
        <f t="shared" si="259"/>
        <v>7.56</v>
      </c>
      <c r="Q324">
        <f t="shared" si="260"/>
        <v>0</v>
      </c>
      <c r="R324">
        <f t="shared" si="261"/>
        <v>0</v>
      </c>
      <c r="S324">
        <f t="shared" si="262"/>
        <v>2104.75</v>
      </c>
      <c r="T324">
        <f t="shared" si="263"/>
        <v>0</v>
      </c>
      <c r="U324">
        <f t="shared" si="264"/>
        <v>3.7439999999999998</v>
      </c>
      <c r="V324">
        <f t="shared" si="265"/>
        <v>0</v>
      </c>
      <c r="W324">
        <f t="shared" si="266"/>
        <v>0</v>
      </c>
      <c r="X324">
        <f t="shared" si="267"/>
        <v>1473.33</v>
      </c>
      <c r="Y324">
        <f t="shared" si="268"/>
        <v>210.48</v>
      </c>
      <c r="AA324">
        <v>1471531721</v>
      </c>
      <c r="AB324">
        <f t="shared" si="269"/>
        <v>176.02600000000001</v>
      </c>
      <c r="AC324">
        <f>ROUND((ES324),6)</f>
        <v>0.63</v>
      </c>
      <c r="AD324">
        <f>ROUND((((ET324)-(EU324))+AE324),6)</f>
        <v>0</v>
      </c>
      <c r="AE324">
        <f>ROUND((EU324),6)</f>
        <v>0</v>
      </c>
      <c r="AF324">
        <f>ROUND(((EV324*1.04)),6)</f>
        <v>175.39599999999999</v>
      </c>
      <c r="AG324">
        <f t="shared" si="270"/>
        <v>0</v>
      </c>
      <c r="AH324">
        <f>((EW324*1.04))</f>
        <v>0.312</v>
      </c>
      <c r="AI324">
        <f>(EX324)</f>
        <v>0</v>
      </c>
      <c r="AJ324">
        <f t="shared" si="271"/>
        <v>0</v>
      </c>
      <c r="AK324">
        <v>169.28</v>
      </c>
      <c r="AL324">
        <v>0.63</v>
      </c>
      <c r="AM324">
        <v>0</v>
      </c>
      <c r="AN324">
        <v>0</v>
      </c>
      <c r="AO324">
        <v>168.65</v>
      </c>
      <c r="AP324">
        <v>0</v>
      </c>
      <c r="AQ324">
        <v>0.3</v>
      </c>
      <c r="AR324">
        <v>0</v>
      </c>
      <c r="AS324">
        <v>0</v>
      </c>
      <c r="AT324">
        <v>70</v>
      </c>
      <c r="AU324">
        <v>10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1</v>
      </c>
      <c r="BD324" t="s">
        <v>3</v>
      </c>
      <c r="BE324" t="s">
        <v>3</v>
      </c>
      <c r="BF324" t="s">
        <v>3</v>
      </c>
      <c r="BG324" t="s">
        <v>3</v>
      </c>
      <c r="BH324">
        <v>0</v>
      </c>
      <c r="BI324">
        <v>4</v>
      </c>
      <c r="BJ324" t="s">
        <v>202</v>
      </c>
      <c r="BM324">
        <v>0</v>
      </c>
      <c r="BN324">
        <v>0</v>
      </c>
      <c r="BO324" t="s">
        <v>3</v>
      </c>
      <c r="BP324">
        <v>0</v>
      </c>
      <c r="BQ324">
        <v>1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70</v>
      </c>
      <c r="CA324">
        <v>10</v>
      </c>
      <c r="CB324" t="s">
        <v>3</v>
      </c>
      <c r="CE324">
        <v>0</v>
      </c>
      <c r="CF324">
        <v>0</v>
      </c>
      <c r="CG324">
        <v>0</v>
      </c>
      <c r="CM324">
        <v>0</v>
      </c>
      <c r="CN324" t="s">
        <v>196</v>
      </c>
      <c r="CO324">
        <v>0</v>
      </c>
      <c r="CP324">
        <f t="shared" si="272"/>
        <v>2112.31</v>
      </c>
      <c r="CQ324">
        <f t="shared" si="273"/>
        <v>0.63</v>
      </c>
      <c r="CR324">
        <f>((((ET324)*BB324-(EU324)*BS324)+AE324*BS324)*AV324)</f>
        <v>0</v>
      </c>
      <c r="CS324">
        <f t="shared" si="274"/>
        <v>0</v>
      </c>
      <c r="CT324">
        <f t="shared" si="275"/>
        <v>175.39599999999999</v>
      </c>
      <c r="CU324">
        <f t="shared" si="276"/>
        <v>0</v>
      </c>
      <c r="CV324">
        <f t="shared" si="277"/>
        <v>0.312</v>
      </c>
      <c r="CW324">
        <f t="shared" si="278"/>
        <v>0</v>
      </c>
      <c r="CX324">
        <f t="shared" si="279"/>
        <v>0</v>
      </c>
      <c r="CY324">
        <f t="shared" si="280"/>
        <v>1473.325</v>
      </c>
      <c r="CZ324">
        <f t="shared" si="281"/>
        <v>210.47499999999999</v>
      </c>
      <c r="DC324" t="s">
        <v>3</v>
      </c>
      <c r="DD324" t="s">
        <v>3</v>
      </c>
      <c r="DE324" t="s">
        <v>3</v>
      </c>
      <c r="DF324" t="s">
        <v>3</v>
      </c>
      <c r="DG324" t="s">
        <v>197</v>
      </c>
      <c r="DH324" t="s">
        <v>3</v>
      </c>
      <c r="DI324" t="s">
        <v>197</v>
      </c>
      <c r="DJ324" t="s">
        <v>3</v>
      </c>
      <c r="DK324" t="s">
        <v>3</v>
      </c>
      <c r="DL324" t="s">
        <v>3</v>
      </c>
      <c r="DM324" t="s">
        <v>3</v>
      </c>
      <c r="DN324">
        <v>0</v>
      </c>
      <c r="DO324">
        <v>0</v>
      </c>
      <c r="DP324">
        <v>1</v>
      </c>
      <c r="DQ324">
        <v>1</v>
      </c>
      <c r="DU324">
        <v>16987630</v>
      </c>
      <c r="DV324" t="s">
        <v>39</v>
      </c>
      <c r="DW324" t="s">
        <v>39</v>
      </c>
      <c r="DX324">
        <v>1</v>
      </c>
      <c r="DZ324" t="s">
        <v>3</v>
      </c>
      <c r="EA324" t="s">
        <v>3</v>
      </c>
      <c r="EB324" t="s">
        <v>3</v>
      </c>
      <c r="EC324" t="s">
        <v>3</v>
      </c>
      <c r="EE324">
        <v>1441815344</v>
      </c>
      <c r="EF324">
        <v>1</v>
      </c>
      <c r="EG324" t="s">
        <v>21</v>
      </c>
      <c r="EH324">
        <v>0</v>
      </c>
      <c r="EI324" t="s">
        <v>3</v>
      </c>
      <c r="EJ324">
        <v>4</v>
      </c>
      <c r="EK324">
        <v>0</v>
      </c>
      <c r="EL324" t="s">
        <v>22</v>
      </c>
      <c r="EM324" t="s">
        <v>23</v>
      </c>
      <c r="EO324" t="s">
        <v>198</v>
      </c>
      <c r="EQ324">
        <v>768</v>
      </c>
      <c r="ER324">
        <v>169.28</v>
      </c>
      <c r="ES324">
        <v>0.63</v>
      </c>
      <c r="ET324">
        <v>0</v>
      </c>
      <c r="EU324">
        <v>0</v>
      </c>
      <c r="EV324">
        <v>168.65</v>
      </c>
      <c r="EW324">
        <v>0.3</v>
      </c>
      <c r="EX324">
        <v>0</v>
      </c>
      <c r="EY324">
        <v>0</v>
      </c>
      <c r="FQ324">
        <v>0</v>
      </c>
      <c r="FR324">
        <f t="shared" si="282"/>
        <v>0</v>
      </c>
      <c r="FS324">
        <v>0</v>
      </c>
      <c r="FX324">
        <v>70</v>
      </c>
      <c r="FY324">
        <v>10</v>
      </c>
      <c r="GA324" t="s">
        <v>3</v>
      </c>
      <c r="GD324">
        <v>0</v>
      </c>
      <c r="GF324">
        <v>192004803</v>
      </c>
      <c r="GG324">
        <v>2</v>
      </c>
      <c r="GH324">
        <v>1</v>
      </c>
      <c r="GI324">
        <v>-2</v>
      </c>
      <c r="GJ324">
        <v>0</v>
      </c>
      <c r="GK324">
        <f>ROUND(R324*(R12)/100,2)</f>
        <v>0</v>
      </c>
      <c r="GL324">
        <f t="shared" si="283"/>
        <v>0</v>
      </c>
      <c r="GM324">
        <f t="shared" si="284"/>
        <v>3796.12</v>
      </c>
      <c r="GN324">
        <f t="shared" si="285"/>
        <v>0</v>
      </c>
      <c r="GO324">
        <f t="shared" si="286"/>
        <v>0</v>
      </c>
      <c r="GP324">
        <f t="shared" si="287"/>
        <v>3796.12</v>
      </c>
      <c r="GR324">
        <v>0</v>
      </c>
      <c r="GS324">
        <v>3</v>
      </c>
      <c r="GT324">
        <v>0</v>
      </c>
      <c r="GU324" t="s">
        <v>3</v>
      </c>
      <c r="GV324">
        <f t="shared" si="288"/>
        <v>0</v>
      </c>
      <c r="GW324">
        <v>1</v>
      </c>
      <c r="GX324">
        <f t="shared" si="289"/>
        <v>0</v>
      </c>
      <c r="HA324">
        <v>0</v>
      </c>
      <c r="HB324">
        <v>0</v>
      </c>
      <c r="HC324">
        <f t="shared" si="290"/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5" spans="1:245" x14ac:dyDescent="0.2">
      <c r="A325">
        <v>17</v>
      </c>
      <c r="B325">
        <v>1</v>
      </c>
      <c r="D325">
        <f>ROW(EtalonRes!A195)</f>
        <v>195</v>
      </c>
      <c r="E325" t="s">
        <v>271</v>
      </c>
      <c r="F325" t="s">
        <v>204</v>
      </c>
      <c r="G325" t="s">
        <v>205</v>
      </c>
      <c r="H325" t="s">
        <v>39</v>
      </c>
      <c r="I325">
        <f>ROUND(5*4,9)</f>
        <v>20</v>
      </c>
      <c r="J325">
        <v>0</v>
      </c>
      <c r="K325">
        <f>ROUND(5*4,9)</f>
        <v>20</v>
      </c>
      <c r="O325">
        <f t="shared" si="258"/>
        <v>4702.5</v>
      </c>
      <c r="P325">
        <f t="shared" si="259"/>
        <v>25.2</v>
      </c>
      <c r="Q325">
        <f t="shared" si="260"/>
        <v>0</v>
      </c>
      <c r="R325">
        <f t="shared" si="261"/>
        <v>0</v>
      </c>
      <c r="S325">
        <f t="shared" si="262"/>
        <v>4677.3</v>
      </c>
      <c r="T325">
        <f t="shared" si="263"/>
        <v>0</v>
      </c>
      <c r="U325">
        <f t="shared" si="264"/>
        <v>8.32</v>
      </c>
      <c r="V325">
        <f t="shared" si="265"/>
        <v>0</v>
      </c>
      <c r="W325">
        <f t="shared" si="266"/>
        <v>0</v>
      </c>
      <c r="X325">
        <f t="shared" si="267"/>
        <v>3274.11</v>
      </c>
      <c r="Y325">
        <f t="shared" si="268"/>
        <v>467.73</v>
      </c>
      <c r="AA325">
        <v>1471531721</v>
      </c>
      <c r="AB325">
        <f t="shared" si="269"/>
        <v>235.12479999999999</v>
      </c>
      <c r="AC325">
        <f>ROUND((ES325),6)</f>
        <v>1.26</v>
      </c>
      <c r="AD325">
        <f>ROUND((((ET325)-(EU325))+AE325),6)</f>
        <v>0</v>
      </c>
      <c r="AE325">
        <f>ROUND((EU325),6)</f>
        <v>0</v>
      </c>
      <c r="AF325">
        <f>ROUND(((EV325*1.04)),6)</f>
        <v>233.8648</v>
      </c>
      <c r="AG325">
        <f t="shared" si="270"/>
        <v>0</v>
      </c>
      <c r="AH325">
        <f>((EW325*1.04))</f>
        <v>0.41600000000000004</v>
      </c>
      <c r="AI325">
        <f>(EX325)</f>
        <v>0</v>
      </c>
      <c r="AJ325">
        <f t="shared" si="271"/>
        <v>0</v>
      </c>
      <c r="AK325">
        <v>226.13</v>
      </c>
      <c r="AL325">
        <v>1.26</v>
      </c>
      <c r="AM325">
        <v>0</v>
      </c>
      <c r="AN325">
        <v>0</v>
      </c>
      <c r="AO325">
        <v>224.87</v>
      </c>
      <c r="AP325">
        <v>0</v>
      </c>
      <c r="AQ325">
        <v>0.4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0</v>
      </c>
      <c r="BI325">
        <v>4</v>
      </c>
      <c r="BJ325" t="s">
        <v>206</v>
      </c>
      <c r="BM325">
        <v>0</v>
      </c>
      <c r="BN325">
        <v>0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196</v>
      </c>
      <c r="CO325">
        <v>0</v>
      </c>
      <c r="CP325">
        <f t="shared" si="272"/>
        <v>4702.5</v>
      </c>
      <c r="CQ325">
        <f t="shared" si="273"/>
        <v>1.26</v>
      </c>
      <c r="CR325">
        <f>((((ET325)*BB325-(EU325)*BS325)+AE325*BS325)*AV325)</f>
        <v>0</v>
      </c>
      <c r="CS325">
        <f t="shared" si="274"/>
        <v>0</v>
      </c>
      <c r="CT325">
        <f t="shared" si="275"/>
        <v>233.8648</v>
      </c>
      <c r="CU325">
        <f t="shared" si="276"/>
        <v>0</v>
      </c>
      <c r="CV325">
        <f t="shared" si="277"/>
        <v>0.41600000000000004</v>
      </c>
      <c r="CW325">
        <f t="shared" si="278"/>
        <v>0</v>
      </c>
      <c r="CX325">
        <f t="shared" si="279"/>
        <v>0</v>
      </c>
      <c r="CY325">
        <f t="shared" si="280"/>
        <v>3274.11</v>
      </c>
      <c r="CZ325">
        <f t="shared" si="281"/>
        <v>467.73</v>
      </c>
      <c r="DC325" t="s">
        <v>3</v>
      </c>
      <c r="DD325" t="s">
        <v>3</v>
      </c>
      <c r="DE325" t="s">
        <v>3</v>
      </c>
      <c r="DF325" t="s">
        <v>3</v>
      </c>
      <c r="DG325" t="s">
        <v>197</v>
      </c>
      <c r="DH325" t="s">
        <v>3</v>
      </c>
      <c r="DI325" t="s">
        <v>197</v>
      </c>
      <c r="DJ325" t="s">
        <v>3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16987630</v>
      </c>
      <c r="DV325" t="s">
        <v>39</v>
      </c>
      <c r="DW325" t="s">
        <v>39</v>
      </c>
      <c r="DX325">
        <v>1</v>
      </c>
      <c r="DZ325" t="s">
        <v>3</v>
      </c>
      <c r="EA325" t="s">
        <v>3</v>
      </c>
      <c r="EB325" t="s">
        <v>3</v>
      </c>
      <c r="EC325" t="s">
        <v>3</v>
      </c>
      <c r="EE325">
        <v>1441815344</v>
      </c>
      <c r="EF325">
        <v>1</v>
      </c>
      <c r="EG325" t="s">
        <v>21</v>
      </c>
      <c r="EH325">
        <v>0</v>
      </c>
      <c r="EI325" t="s">
        <v>3</v>
      </c>
      <c r="EJ325">
        <v>4</v>
      </c>
      <c r="EK325">
        <v>0</v>
      </c>
      <c r="EL325" t="s">
        <v>22</v>
      </c>
      <c r="EM325" t="s">
        <v>23</v>
      </c>
      <c r="EO325" t="s">
        <v>198</v>
      </c>
      <c r="EQ325">
        <v>768</v>
      </c>
      <c r="ER325">
        <v>226.13</v>
      </c>
      <c r="ES325">
        <v>1.26</v>
      </c>
      <c r="ET325">
        <v>0</v>
      </c>
      <c r="EU325">
        <v>0</v>
      </c>
      <c r="EV325">
        <v>224.87</v>
      </c>
      <c r="EW325">
        <v>0.4</v>
      </c>
      <c r="EX325">
        <v>0</v>
      </c>
      <c r="EY325">
        <v>0</v>
      </c>
      <c r="FQ325">
        <v>0</v>
      </c>
      <c r="FR325">
        <f t="shared" si="282"/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-1193417237</v>
      </c>
      <c r="GG325">
        <v>2</v>
      </c>
      <c r="GH325">
        <v>1</v>
      </c>
      <c r="GI325">
        <v>-2</v>
      </c>
      <c r="GJ325">
        <v>0</v>
      </c>
      <c r="GK325">
        <f>ROUND(R325*(R12)/100,2)</f>
        <v>0</v>
      </c>
      <c r="GL325">
        <f t="shared" si="283"/>
        <v>0</v>
      </c>
      <c r="GM325">
        <f t="shared" si="284"/>
        <v>8444.34</v>
      </c>
      <c r="GN325">
        <f t="shared" si="285"/>
        <v>0</v>
      </c>
      <c r="GO325">
        <f t="shared" si="286"/>
        <v>0</v>
      </c>
      <c r="GP325">
        <f t="shared" si="287"/>
        <v>8444.34</v>
      </c>
      <c r="GR325">
        <v>0</v>
      </c>
      <c r="GS325">
        <v>3</v>
      </c>
      <c r="GT325">
        <v>0</v>
      </c>
      <c r="GU325" t="s">
        <v>3</v>
      </c>
      <c r="GV325">
        <f t="shared" si="288"/>
        <v>0</v>
      </c>
      <c r="GW325">
        <v>1</v>
      </c>
      <c r="GX325">
        <f t="shared" si="289"/>
        <v>0</v>
      </c>
      <c r="HA325">
        <v>0</v>
      </c>
      <c r="HB325">
        <v>0</v>
      </c>
      <c r="HC325">
        <f t="shared" si="290"/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6" spans="1:245" x14ac:dyDescent="0.2">
      <c r="A326">
        <v>17</v>
      </c>
      <c r="B326">
        <v>1</v>
      </c>
      <c r="D326">
        <f>ROW(EtalonRes!A197)</f>
        <v>197</v>
      </c>
      <c r="E326" t="s">
        <v>272</v>
      </c>
      <c r="F326" t="s">
        <v>208</v>
      </c>
      <c r="G326" t="s">
        <v>209</v>
      </c>
      <c r="H326" t="s">
        <v>39</v>
      </c>
      <c r="I326">
        <f>ROUND(3*4,9)</f>
        <v>12</v>
      </c>
      <c r="J326">
        <v>0</v>
      </c>
      <c r="K326">
        <f>ROUND(3*4,9)</f>
        <v>12</v>
      </c>
      <c r="O326">
        <f t="shared" si="258"/>
        <v>7076.16</v>
      </c>
      <c r="P326">
        <f t="shared" si="259"/>
        <v>60.48</v>
      </c>
      <c r="Q326">
        <f t="shared" si="260"/>
        <v>0</v>
      </c>
      <c r="R326">
        <f t="shared" si="261"/>
        <v>0</v>
      </c>
      <c r="S326">
        <f t="shared" si="262"/>
        <v>7015.68</v>
      </c>
      <c r="T326">
        <f t="shared" si="263"/>
        <v>0</v>
      </c>
      <c r="U326">
        <f t="shared" si="264"/>
        <v>12.48</v>
      </c>
      <c r="V326">
        <f t="shared" si="265"/>
        <v>0</v>
      </c>
      <c r="W326">
        <f t="shared" si="266"/>
        <v>0</v>
      </c>
      <c r="X326">
        <f t="shared" si="267"/>
        <v>4910.9799999999996</v>
      </c>
      <c r="Y326">
        <f t="shared" si="268"/>
        <v>701.57</v>
      </c>
      <c r="AA326">
        <v>1471531721</v>
      </c>
      <c r="AB326">
        <f t="shared" si="269"/>
        <v>589.67999999999995</v>
      </c>
      <c r="AC326">
        <f>ROUND(((ES326*4)),6)</f>
        <v>5.04</v>
      </c>
      <c r="AD326">
        <f>ROUND(((((ET326*4))-((EU326*4)))+AE326),6)</f>
        <v>0</v>
      </c>
      <c r="AE326">
        <f>ROUND(((EU326*4)),6)</f>
        <v>0</v>
      </c>
      <c r="AF326">
        <f>ROUND(((EV326*4)),6)</f>
        <v>584.64</v>
      </c>
      <c r="AG326">
        <f t="shared" si="270"/>
        <v>0</v>
      </c>
      <c r="AH326">
        <f>((EW326*4))</f>
        <v>1.04</v>
      </c>
      <c r="AI326">
        <f>((EX326*4))</f>
        <v>0</v>
      </c>
      <c r="AJ326">
        <f t="shared" si="271"/>
        <v>0</v>
      </c>
      <c r="AK326">
        <v>147.41999999999999</v>
      </c>
      <c r="AL326">
        <v>1.26</v>
      </c>
      <c r="AM326">
        <v>0</v>
      </c>
      <c r="AN326">
        <v>0</v>
      </c>
      <c r="AO326">
        <v>146.16</v>
      </c>
      <c r="AP326">
        <v>0</v>
      </c>
      <c r="AQ326">
        <v>0.26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210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 t="shared" si="272"/>
        <v>7076.16</v>
      </c>
      <c r="CQ326">
        <f t="shared" si="273"/>
        <v>5.04</v>
      </c>
      <c r="CR326">
        <f>(((((ET326*4))*BB326-((EU326*4))*BS326)+AE326*BS326)*AV326)</f>
        <v>0</v>
      </c>
      <c r="CS326">
        <f t="shared" si="274"/>
        <v>0</v>
      </c>
      <c r="CT326">
        <f t="shared" si="275"/>
        <v>584.64</v>
      </c>
      <c r="CU326">
        <f t="shared" si="276"/>
        <v>0</v>
      </c>
      <c r="CV326">
        <f t="shared" si="277"/>
        <v>1.04</v>
      </c>
      <c r="CW326">
        <f t="shared" si="278"/>
        <v>0</v>
      </c>
      <c r="CX326">
        <f t="shared" si="279"/>
        <v>0</v>
      </c>
      <c r="CY326">
        <f t="shared" si="280"/>
        <v>4910.9760000000006</v>
      </c>
      <c r="CZ326">
        <f t="shared" si="281"/>
        <v>701.56799999999998</v>
      </c>
      <c r="DC326" t="s">
        <v>3</v>
      </c>
      <c r="DD326" t="s">
        <v>57</v>
      </c>
      <c r="DE326" t="s">
        <v>57</v>
      </c>
      <c r="DF326" t="s">
        <v>57</v>
      </c>
      <c r="DG326" t="s">
        <v>57</v>
      </c>
      <c r="DH326" t="s">
        <v>3</v>
      </c>
      <c r="DI326" t="s">
        <v>57</v>
      </c>
      <c r="DJ326" t="s">
        <v>57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16987630</v>
      </c>
      <c r="DV326" t="s">
        <v>39</v>
      </c>
      <c r="DW326" t="s">
        <v>39</v>
      </c>
      <c r="DX326">
        <v>1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21</v>
      </c>
      <c r="EH326">
        <v>0</v>
      </c>
      <c r="EI326" t="s">
        <v>3</v>
      </c>
      <c r="EJ326">
        <v>4</v>
      </c>
      <c r="EK326">
        <v>0</v>
      </c>
      <c r="EL326" t="s">
        <v>22</v>
      </c>
      <c r="EM326" t="s">
        <v>23</v>
      </c>
      <c r="EO326" t="s">
        <v>3</v>
      </c>
      <c r="EQ326">
        <v>0</v>
      </c>
      <c r="ER326">
        <v>147.41999999999999</v>
      </c>
      <c r="ES326">
        <v>1.26</v>
      </c>
      <c r="ET326">
        <v>0</v>
      </c>
      <c r="EU326">
        <v>0</v>
      </c>
      <c r="EV326">
        <v>146.16</v>
      </c>
      <c r="EW326">
        <v>0.26</v>
      </c>
      <c r="EX326">
        <v>0</v>
      </c>
      <c r="EY326">
        <v>0</v>
      </c>
      <c r="FQ326">
        <v>0</v>
      </c>
      <c r="FR326">
        <f t="shared" si="282"/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1674503205</v>
      </c>
      <c r="GG326">
        <v>2</v>
      </c>
      <c r="GH326">
        <v>1</v>
      </c>
      <c r="GI326">
        <v>-2</v>
      </c>
      <c r="GJ326">
        <v>0</v>
      </c>
      <c r="GK326">
        <f>ROUND(R326*(R12)/100,2)</f>
        <v>0</v>
      </c>
      <c r="GL326">
        <f t="shared" si="283"/>
        <v>0</v>
      </c>
      <c r="GM326">
        <f t="shared" si="284"/>
        <v>12688.71</v>
      </c>
      <c r="GN326">
        <f t="shared" si="285"/>
        <v>0</v>
      </c>
      <c r="GO326">
        <f t="shared" si="286"/>
        <v>0</v>
      </c>
      <c r="GP326">
        <f t="shared" si="287"/>
        <v>12688.71</v>
      </c>
      <c r="GR326">
        <v>0</v>
      </c>
      <c r="GS326">
        <v>3</v>
      </c>
      <c r="GT326">
        <v>0</v>
      </c>
      <c r="GU326" t="s">
        <v>3</v>
      </c>
      <c r="GV326">
        <f t="shared" si="288"/>
        <v>0</v>
      </c>
      <c r="GW326">
        <v>1</v>
      </c>
      <c r="GX326">
        <f t="shared" si="289"/>
        <v>0</v>
      </c>
      <c r="HA326">
        <v>0</v>
      </c>
      <c r="HB326">
        <v>0</v>
      </c>
      <c r="HC326">
        <f t="shared" si="290"/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7" spans="1:245" x14ac:dyDescent="0.2">
      <c r="A327">
        <v>17</v>
      </c>
      <c r="B327">
        <v>1</v>
      </c>
      <c r="D327">
        <f>ROW(EtalonRes!A198)</f>
        <v>198</v>
      </c>
      <c r="E327" t="s">
        <v>273</v>
      </c>
      <c r="F327" t="s">
        <v>212</v>
      </c>
      <c r="G327" t="s">
        <v>213</v>
      </c>
      <c r="H327" t="s">
        <v>39</v>
      </c>
      <c r="I327">
        <f>ROUND(2*4,9)</f>
        <v>8</v>
      </c>
      <c r="J327">
        <v>0</v>
      </c>
      <c r="K327">
        <f>ROUND(2*4,9)</f>
        <v>8</v>
      </c>
      <c r="O327">
        <f t="shared" si="258"/>
        <v>9731.84</v>
      </c>
      <c r="P327">
        <f t="shared" si="259"/>
        <v>0</v>
      </c>
      <c r="Q327">
        <f t="shared" si="260"/>
        <v>0</v>
      </c>
      <c r="R327">
        <f t="shared" si="261"/>
        <v>0</v>
      </c>
      <c r="S327">
        <f t="shared" si="262"/>
        <v>9731.84</v>
      </c>
      <c r="T327">
        <f t="shared" si="263"/>
        <v>0</v>
      </c>
      <c r="U327">
        <f t="shared" si="264"/>
        <v>16</v>
      </c>
      <c r="V327">
        <f t="shared" si="265"/>
        <v>0</v>
      </c>
      <c r="W327">
        <f t="shared" si="266"/>
        <v>0</v>
      </c>
      <c r="X327">
        <f t="shared" si="267"/>
        <v>6812.29</v>
      </c>
      <c r="Y327">
        <f t="shared" si="268"/>
        <v>973.18</v>
      </c>
      <c r="AA327">
        <v>1471531721</v>
      </c>
      <c r="AB327">
        <f t="shared" si="269"/>
        <v>1216.48</v>
      </c>
      <c r="AC327">
        <f>ROUND(((ES327*4)),6)</f>
        <v>0</v>
      </c>
      <c r="AD327">
        <f>ROUND(((((ET327*4))-((EU327*4)))+AE327),6)</f>
        <v>0</v>
      </c>
      <c r="AE327">
        <f>ROUND(((EU327*4)),6)</f>
        <v>0</v>
      </c>
      <c r="AF327">
        <f>ROUND(((EV327*4)),6)</f>
        <v>1216.48</v>
      </c>
      <c r="AG327">
        <f t="shared" si="270"/>
        <v>0</v>
      </c>
      <c r="AH327">
        <f>((EW327*4))</f>
        <v>2</v>
      </c>
      <c r="AI327">
        <f>((EX327*4))</f>
        <v>0</v>
      </c>
      <c r="AJ327">
        <f t="shared" si="271"/>
        <v>0</v>
      </c>
      <c r="AK327">
        <v>304.12</v>
      </c>
      <c r="AL327">
        <v>0</v>
      </c>
      <c r="AM327">
        <v>0</v>
      </c>
      <c r="AN327">
        <v>0</v>
      </c>
      <c r="AO327">
        <v>304.12</v>
      </c>
      <c r="AP327">
        <v>0</v>
      </c>
      <c r="AQ327">
        <v>0.5</v>
      </c>
      <c r="AR327">
        <v>0</v>
      </c>
      <c r="AS327">
        <v>0</v>
      </c>
      <c r="AT327">
        <v>70</v>
      </c>
      <c r="AU327">
        <v>10</v>
      </c>
      <c r="AV327">
        <v>1</v>
      </c>
      <c r="AW327">
        <v>1</v>
      </c>
      <c r="AZ327">
        <v>1</v>
      </c>
      <c r="BA327">
        <v>1</v>
      </c>
      <c r="BB327">
        <v>1</v>
      </c>
      <c r="BC327">
        <v>1</v>
      </c>
      <c r="BD327" t="s">
        <v>3</v>
      </c>
      <c r="BE327" t="s">
        <v>3</v>
      </c>
      <c r="BF327" t="s">
        <v>3</v>
      </c>
      <c r="BG327" t="s">
        <v>3</v>
      </c>
      <c r="BH327">
        <v>0</v>
      </c>
      <c r="BI327">
        <v>4</v>
      </c>
      <c r="BJ327" t="s">
        <v>214</v>
      </c>
      <c r="BM327">
        <v>0</v>
      </c>
      <c r="BN327">
        <v>0</v>
      </c>
      <c r="BO327" t="s">
        <v>3</v>
      </c>
      <c r="BP327">
        <v>0</v>
      </c>
      <c r="BQ327">
        <v>1</v>
      </c>
      <c r="BR327">
        <v>0</v>
      </c>
      <c r="BS327">
        <v>1</v>
      </c>
      <c r="BT327">
        <v>1</v>
      </c>
      <c r="BU327">
        <v>1</v>
      </c>
      <c r="BV327">
        <v>1</v>
      </c>
      <c r="BW327">
        <v>1</v>
      </c>
      <c r="BX327">
        <v>1</v>
      </c>
      <c r="BY327" t="s">
        <v>3</v>
      </c>
      <c r="BZ327">
        <v>70</v>
      </c>
      <c r="CA327">
        <v>10</v>
      </c>
      <c r="CB327" t="s">
        <v>3</v>
      </c>
      <c r="CE327">
        <v>0</v>
      </c>
      <c r="CF327">
        <v>0</v>
      </c>
      <c r="CG327">
        <v>0</v>
      </c>
      <c r="CM327">
        <v>0</v>
      </c>
      <c r="CN327" t="s">
        <v>3</v>
      </c>
      <c r="CO327">
        <v>0</v>
      </c>
      <c r="CP327">
        <f t="shared" si="272"/>
        <v>9731.84</v>
      </c>
      <c r="CQ327">
        <f t="shared" si="273"/>
        <v>0</v>
      </c>
      <c r="CR327">
        <f>(((((ET327*4))*BB327-((EU327*4))*BS327)+AE327*BS327)*AV327)</f>
        <v>0</v>
      </c>
      <c r="CS327">
        <f t="shared" si="274"/>
        <v>0</v>
      </c>
      <c r="CT327">
        <f t="shared" si="275"/>
        <v>1216.48</v>
      </c>
      <c r="CU327">
        <f t="shared" si="276"/>
        <v>0</v>
      </c>
      <c r="CV327">
        <f t="shared" si="277"/>
        <v>2</v>
      </c>
      <c r="CW327">
        <f t="shared" si="278"/>
        <v>0</v>
      </c>
      <c r="CX327">
        <f t="shared" si="279"/>
        <v>0</v>
      </c>
      <c r="CY327">
        <f t="shared" si="280"/>
        <v>6812.2880000000005</v>
      </c>
      <c r="CZ327">
        <f t="shared" si="281"/>
        <v>973.18399999999997</v>
      </c>
      <c r="DC327" t="s">
        <v>3</v>
      </c>
      <c r="DD327" t="s">
        <v>57</v>
      </c>
      <c r="DE327" t="s">
        <v>57</v>
      </c>
      <c r="DF327" t="s">
        <v>57</v>
      </c>
      <c r="DG327" t="s">
        <v>57</v>
      </c>
      <c r="DH327" t="s">
        <v>3</v>
      </c>
      <c r="DI327" t="s">
        <v>57</v>
      </c>
      <c r="DJ327" t="s">
        <v>57</v>
      </c>
      <c r="DK327" t="s">
        <v>3</v>
      </c>
      <c r="DL327" t="s">
        <v>3</v>
      </c>
      <c r="DM327" t="s">
        <v>3</v>
      </c>
      <c r="DN327">
        <v>0</v>
      </c>
      <c r="DO327">
        <v>0</v>
      </c>
      <c r="DP327">
        <v>1</v>
      </c>
      <c r="DQ327">
        <v>1</v>
      </c>
      <c r="DU327">
        <v>16987630</v>
      </c>
      <c r="DV327" t="s">
        <v>39</v>
      </c>
      <c r="DW327" t="s">
        <v>39</v>
      </c>
      <c r="DX327">
        <v>1</v>
      </c>
      <c r="DZ327" t="s">
        <v>3</v>
      </c>
      <c r="EA327" t="s">
        <v>3</v>
      </c>
      <c r="EB327" t="s">
        <v>3</v>
      </c>
      <c r="EC327" t="s">
        <v>3</v>
      </c>
      <c r="EE327">
        <v>1441815344</v>
      </c>
      <c r="EF327">
        <v>1</v>
      </c>
      <c r="EG327" t="s">
        <v>21</v>
      </c>
      <c r="EH327">
        <v>0</v>
      </c>
      <c r="EI327" t="s">
        <v>3</v>
      </c>
      <c r="EJ327">
        <v>4</v>
      </c>
      <c r="EK327">
        <v>0</v>
      </c>
      <c r="EL327" t="s">
        <v>22</v>
      </c>
      <c r="EM327" t="s">
        <v>23</v>
      </c>
      <c r="EO327" t="s">
        <v>3</v>
      </c>
      <c r="EQ327">
        <v>0</v>
      </c>
      <c r="ER327">
        <v>304.12</v>
      </c>
      <c r="ES327">
        <v>0</v>
      </c>
      <c r="ET327">
        <v>0</v>
      </c>
      <c r="EU327">
        <v>0</v>
      </c>
      <c r="EV327">
        <v>304.12</v>
      </c>
      <c r="EW327">
        <v>0.5</v>
      </c>
      <c r="EX327">
        <v>0</v>
      </c>
      <c r="EY327">
        <v>0</v>
      </c>
      <c r="FQ327">
        <v>0</v>
      </c>
      <c r="FR327">
        <f t="shared" si="282"/>
        <v>0</v>
      </c>
      <c r="FS327">
        <v>0</v>
      </c>
      <c r="FX327">
        <v>70</v>
      </c>
      <c r="FY327">
        <v>10</v>
      </c>
      <c r="GA327" t="s">
        <v>3</v>
      </c>
      <c r="GD327">
        <v>0</v>
      </c>
      <c r="GF327">
        <v>-964383457</v>
      </c>
      <c r="GG327">
        <v>2</v>
      </c>
      <c r="GH327">
        <v>1</v>
      </c>
      <c r="GI327">
        <v>-2</v>
      </c>
      <c r="GJ327">
        <v>0</v>
      </c>
      <c r="GK327">
        <f>ROUND(R327*(R12)/100,2)</f>
        <v>0</v>
      </c>
      <c r="GL327">
        <f t="shared" si="283"/>
        <v>0</v>
      </c>
      <c r="GM327">
        <f t="shared" si="284"/>
        <v>17517.310000000001</v>
      </c>
      <c r="GN327">
        <f t="shared" si="285"/>
        <v>0</v>
      </c>
      <c r="GO327">
        <f t="shared" si="286"/>
        <v>0</v>
      </c>
      <c r="GP327">
        <f t="shared" si="287"/>
        <v>17517.310000000001</v>
      </c>
      <c r="GR327">
        <v>0</v>
      </c>
      <c r="GS327">
        <v>3</v>
      </c>
      <c r="GT327">
        <v>0</v>
      </c>
      <c r="GU327" t="s">
        <v>3</v>
      </c>
      <c r="GV327">
        <f t="shared" si="288"/>
        <v>0</v>
      </c>
      <c r="GW327">
        <v>1</v>
      </c>
      <c r="GX327">
        <f t="shared" si="289"/>
        <v>0</v>
      </c>
      <c r="HA327">
        <v>0</v>
      </c>
      <c r="HB327">
        <v>0</v>
      </c>
      <c r="HC327">
        <f t="shared" si="290"/>
        <v>0</v>
      </c>
      <c r="HE327" t="s">
        <v>3</v>
      </c>
      <c r="HF327" t="s">
        <v>3</v>
      </c>
      <c r="HM327" t="s">
        <v>3</v>
      </c>
      <c r="HN327" t="s">
        <v>3</v>
      </c>
      <c r="HO327" t="s">
        <v>3</v>
      </c>
      <c r="HP327" t="s">
        <v>3</v>
      </c>
      <c r="HQ327" t="s">
        <v>3</v>
      </c>
      <c r="IK327">
        <v>0</v>
      </c>
    </row>
    <row r="328" spans="1:245" x14ac:dyDescent="0.2">
      <c r="A328">
        <v>17</v>
      </c>
      <c r="B328">
        <v>1</v>
      </c>
      <c r="D328">
        <f>ROW(EtalonRes!A199)</f>
        <v>199</v>
      </c>
      <c r="E328" t="s">
        <v>3</v>
      </c>
      <c r="F328" t="s">
        <v>215</v>
      </c>
      <c r="G328" t="s">
        <v>216</v>
      </c>
      <c r="H328" t="s">
        <v>39</v>
      </c>
      <c r="I328">
        <f>ROUND(2*4,9)</f>
        <v>8</v>
      </c>
      <c r="J328">
        <v>0</v>
      </c>
      <c r="K328">
        <f>ROUND(2*4,9)</f>
        <v>8</v>
      </c>
      <c r="O328">
        <f t="shared" si="258"/>
        <v>8564.24</v>
      </c>
      <c r="P328">
        <f t="shared" si="259"/>
        <v>0</v>
      </c>
      <c r="Q328">
        <f t="shared" si="260"/>
        <v>0</v>
      </c>
      <c r="R328">
        <f t="shared" si="261"/>
        <v>0</v>
      </c>
      <c r="S328">
        <f t="shared" si="262"/>
        <v>8564.24</v>
      </c>
      <c r="T328">
        <f t="shared" si="263"/>
        <v>0</v>
      </c>
      <c r="U328">
        <f t="shared" si="264"/>
        <v>14.08</v>
      </c>
      <c r="V328">
        <f t="shared" si="265"/>
        <v>0</v>
      </c>
      <c r="W328">
        <f t="shared" si="266"/>
        <v>0</v>
      </c>
      <c r="X328">
        <f t="shared" si="267"/>
        <v>5994.97</v>
      </c>
      <c r="Y328">
        <f t="shared" si="268"/>
        <v>856.42</v>
      </c>
      <c r="AA328">
        <v>-1</v>
      </c>
      <c r="AB328">
        <f t="shared" si="269"/>
        <v>1070.53</v>
      </c>
      <c r="AC328">
        <f>ROUND((ES328),6)</f>
        <v>0</v>
      </c>
      <c r="AD328">
        <f>ROUND((((ET328)-(EU328))+AE328),6)</f>
        <v>0</v>
      </c>
      <c r="AE328">
        <f>ROUND((EU328),6)</f>
        <v>0</v>
      </c>
      <c r="AF328">
        <f>ROUND((EV328),6)</f>
        <v>1070.53</v>
      </c>
      <c r="AG328">
        <f t="shared" si="270"/>
        <v>0</v>
      </c>
      <c r="AH328">
        <f>(EW328)</f>
        <v>1.76</v>
      </c>
      <c r="AI328">
        <f>(EX328)</f>
        <v>0</v>
      </c>
      <c r="AJ328">
        <f t="shared" si="271"/>
        <v>0</v>
      </c>
      <c r="AK328">
        <v>1070.53</v>
      </c>
      <c r="AL328">
        <v>0</v>
      </c>
      <c r="AM328">
        <v>0</v>
      </c>
      <c r="AN328">
        <v>0</v>
      </c>
      <c r="AO328">
        <v>1070.53</v>
      </c>
      <c r="AP328">
        <v>0</v>
      </c>
      <c r="AQ328">
        <v>1.76</v>
      </c>
      <c r="AR328">
        <v>0</v>
      </c>
      <c r="AS328">
        <v>0</v>
      </c>
      <c r="AT328">
        <v>70</v>
      </c>
      <c r="AU328">
        <v>10</v>
      </c>
      <c r="AV328">
        <v>1</v>
      </c>
      <c r="AW328">
        <v>1</v>
      </c>
      <c r="AZ328">
        <v>1</v>
      </c>
      <c r="BA328">
        <v>1</v>
      </c>
      <c r="BB328">
        <v>1</v>
      </c>
      <c r="BC328">
        <v>1</v>
      </c>
      <c r="BD328" t="s">
        <v>3</v>
      </c>
      <c r="BE328" t="s">
        <v>3</v>
      </c>
      <c r="BF328" t="s">
        <v>3</v>
      </c>
      <c r="BG328" t="s">
        <v>3</v>
      </c>
      <c r="BH328">
        <v>0</v>
      </c>
      <c r="BI328">
        <v>4</v>
      </c>
      <c r="BJ328" t="s">
        <v>217</v>
      </c>
      <c r="BM328">
        <v>0</v>
      </c>
      <c r="BN328">
        <v>0</v>
      </c>
      <c r="BO328" t="s">
        <v>3</v>
      </c>
      <c r="BP328">
        <v>0</v>
      </c>
      <c r="BQ328">
        <v>1</v>
      </c>
      <c r="BR328">
        <v>0</v>
      </c>
      <c r="BS328">
        <v>1</v>
      </c>
      <c r="BT328">
        <v>1</v>
      </c>
      <c r="BU328">
        <v>1</v>
      </c>
      <c r="BV328">
        <v>1</v>
      </c>
      <c r="BW328">
        <v>1</v>
      </c>
      <c r="BX328">
        <v>1</v>
      </c>
      <c r="BY328" t="s">
        <v>3</v>
      </c>
      <c r="BZ328">
        <v>70</v>
      </c>
      <c r="CA328">
        <v>10</v>
      </c>
      <c r="CB328" t="s">
        <v>3</v>
      </c>
      <c r="CE328">
        <v>0</v>
      </c>
      <c r="CF328">
        <v>0</v>
      </c>
      <c r="CG328">
        <v>0</v>
      </c>
      <c r="CM328">
        <v>0</v>
      </c>
      <c r="CN328" t="s">
        <v>3</v>
      </c>
      <c r="CO328">
        <v>0</v>
      </c>
      <c r="CP328">
        <f t="shared" si="272"/>
        <v>8564.24</v>
      </c>
      <c r="CQ328">
        <f t="shared" si="273"/>
        <v>0</v>
      </c>
      <c r="CR328">
        <f>((((ET328)*BB328-(EU328)*BS328)+AE328*BS328)*AV328)</f>
        <v>0</v>
      </c>
      <c r="CS328">
        <f t="shared" si="274"/>
        <v>0</v>
      </c>
      <c r="CT328">
        <f t="shared" si="275"/>
        <v>1070.53</v>
      </c>
      <c r="CU328">
        <f t="shared" si="276"/>
        <v>0</v>
      </c>
      <c r="CV328">
        <f t="shared" si="277"/>
        <v>1.76</v>
      </c>
      <c r="CW328">
        <f t="shared" si="278"/>
        <v>0</v>
      </c>
      <c r="CX328">
        <f t="shared" si="279"/>
        <v>0</v>
      </c>
      <c r="CY328">
        <f t="shared" si="280"/>
        <v>5994.9679999999989</v>
      </c>
      <c r="CZ328">
        <f t="shared" si="281"/>
        <v>856.42399999999998</v>
      </c>
      <c r="DC328" t="s">
        <v>3</v>
      </c>
      <c r="DD328" t="s">
        <v>3</v>
      </c>
      <c r="DE328" t="s">
        <v>3</v>
      </c>
      <c r="DF328" t="s">
        <v>3</v>
      </c>
      <c r="DG328" t="s">
        <v>3</v>
      </c>
      <c r="DH328" t="s">
        <v>3</v>
      </c>
      <c r="DI328" t="s">
        <v>3</v>
      </c>
      <c r="DJ328" t="s">
        <v>3</v>
      </c>
      <c r="DK328" t="s">
        <v>3</v>
      </c>
      <c r="DL328" t="s">
        <v>3</v>
      </c>
      <c r="DM328" t="s">
        <v>3</v>
      </c>
      <c r="DN328">
        <v>0</v>
      </c>
      <c r="DO328">
        <v>0</v>
      </c>
      <c r="DP328">
        <v>1</v>
      </c>
      <c r="DQ328">
        <v>1</v>
      </c>
      <c r="DU328">
        <v>16987630</v>
      </c>
      <c r="DV328" t="s">
        <v>39</v>
      </c>
      <c r="DW328" t="s">
        <v>39</v>
      </c>
      <c r="DX328">
        <v>1</v>
      </c>
      <c r="DZ328" t="s">
        <v>3</v>
      </c>
      <c r="EA328" t="s">
        <v>3</v>
      </c>
      <c r="EB328" t="s">
        <v>3</v>
      </c>
      <c r="EC328" t="s">
        <v>3</v>
      </c>
      <c r="EE328">
        <v>1441815344</v>
      </c>
      <c r="EF328">
        <v>1</v>
      </c>
      <c r="EG328" t="s">
        <v>21</v>
      </c>
      <c r="EH328">
        <v>0</v>
      </c>
      <c r="EI328" t="s">
        <v>3</v>
      </c>
      <c r="EJ328">
        <v>4</v>
      </c>
      <c r="EK328">
        <v>0</v>
      </c>
      <c r="EL328" t="s">
        <v>22</v>
      </c>
      <c r="EM328" t="s">
        <v>23</v>
      </c>
      <c r="EO328" t="s">
        <v>3</v>
      </c>
      <c r="EQ328">
        <v>1311744</v>
      </c>
      <c r="ER328">
        <v>1070.53</v>
      </c>
      <c r="ES328">
        <v>0</v>
      </c>
      <c r="ET328">
        <v>0</v>
      </c>
      <c r="EU328">
        <v>0</v>
      </c>
      <c r="EV328">
        <v>1070.53</v>
      </c>
      <c r="EW328">
        <v>1.76</v>
      </c>
      <c r="EX328">
        <v>0</v>
      </c>
      <c r="EY328">
        <v>0</v>
      </c>
      <c r="FQ328">
        <v>0</v>
      </c>
      <c r="FR328">
        <f t="shared" si="282"/>
        <v>0</v>
      </c>
      <c r="FS328">
        <v>0</v>
      </c>
      <c r="FX328">
        <v>70</v>
      </c>
      <c r="FY328">
        <v>10</v>
      </c>
      <c r="GA328" t="s">
        <v>3</v>
      </c>
      <c r="GD328">
        <v>0</v>
      </c>
      <c r="GF328">
        <v>-1392204801</v>
      </c>
      <c r="GG328">
        <v>2</v>
      </c>
      <c r="GH328">
        <v>1</v>
      </c>
      <c r="GI328">
        <v>-2</v>
      </c>
      <c r="GJ328">
        <v>0</v>
      </c>
      <c r="GK328">
        <f>ROUND(R328*(R12)/100,2)</f>
        <v>0</v>
      </c>
      <c r="GL328">
        <f t="shared" si="283"/>
        <v>0</v>
      </c>
      <c r="GM328">
        <f t="shared" si="284"/>
        <v>15415.63</v>
      </c>
      <c r="GN328">
        <f t="shared" si="285"/>
        <v>0</v>
      </c>
      <c r="GO328">
        <f t="shared" si="286"/>
        <v>0</v>
      </c>
      <c r="GP328">
        <f t="shared" si="287"/>
        <v>15415.63</v>
      </c>
      <c r="GR328">
        <v>0</v>
      </c>
      <c r="GS328">
        <v>3</v>
      </c>
      <c r="GT328">
        <v>0</v>
      </c>
      <c r="GU328" t="s">
        <v>3</v>
      </c>
      <c r="GV328">
        <f t="shared" si="288"/>
        <v>0</v>
      </c>
      <c r="GW328">
        <v>1</v>
      </c>
      <c r="GX328">
        <f t="shared" si="289"/>
        <v>0</v>
      </c>
      <c r="HA328">
        <v>0</v>
      </c>
      <c r="HB328">
        <v>0</v>
      </c>
      <c r="HC328">
        <f t="shared" si="290"/>
        <v>0</v>
      </c>
      <c r="HE328" t="s">
        <v>3</v>
      </c>
      <c r="HF328" t="s">
        <v>3</v>
      </c>
      <c r="HM328" t="s">
        <v>3</v>
      </c>
      <c r="HN328" t="s">
        <v>3</v>
      </c>
      <c r="HO328" t="s">
        <v>3</v>
      </c>
      <c r="HP328" t="s">
        <v>3</v>
      </c>
      <c r="HQ328" t="s">
        <v>3</v>
      </c>
      <c r="IK328">
        <v>0</v>
      </c>
    </row>
    <row r="329" spans="1:245" x14ac:dyDescent="0.2">
      <c r="A329">
        <v>17</v>
      </c>
      <c r="B329">
        <v>1</v>
      </c>
      <c r="D329">
        <f>ROW(EtalonRes!A202)</f>
        <v>202</v>
      </c>
      <c r="E329" t="s">
        <v>3</v>
      </c>
      <c r="F329" t="s">
        <v>218</v>
      </c>
      <c r="G329" t="s">
        <v>219</v>
      </c>
      <c r="H329" t="s">
        <v>39</v>
      </c>
      <c r="I329">
        <f>ROUND(2*4,9)</f>
        <v>8</v>
      </c>
      <c r="J329">
        <v>0</v>
      </c>
      <c r="K329">
        <f>ROUND(2*4,9)</f>
        <v>8</v>
      </c>
      <c r="O329">
        <f t="shared" si="258"/>
        <v>16489.759999999998</v>
      </c>
      <c r="P329">
        <f t="shared" si="259"/>
        <v>42.48</v>
      </c>
      <c r="Q329">
        <f t="shared" si="260"/>
        <v>0</v>
      </c>
      <c r="R329">
        <f t="shared" si="261"/>
        <v>0</v>
      </c>
      <c r="S329">
        <f t="shared" si="262"/>
        <v>16447.28</v>
      </c>
      <c r="T329">
        <f t="shared" si="263"/>
        <v>0</v>
      </c>
      <c r="U329">
        <f t="shared" si="264"/>
        <v>27.04</v>
      </c>
      <c r="V329">
        <f t="shared" si="265"/>
        <v>0</v>
      </c>
      <c r="W329">
        <f t="shared" si="266"/>
        <v>0</v>
      </c>
      <c r="X329">
        <f t="shared" si="267"/>
        <v>11513.1</v>
      </c>
      <c r="Y329">
        <f t="shared" si="268"/>
        <v>1644.73</v>
      </c>
      <c r="AA329">
        <v>-1</v>
      </c>
      <c r="AB329">
        <f t="shared" si="269"/>
        <v>2061.2199999999998</v>
      </c>
      <c r="AC329">
        <f>ROUND((ES329),6)</f>
        <v>5.31</v>
      </c>
      <c r="AD329">
        <f>ROUND((((ET329)-(EU329))+AE329),6)</f>
        <v>0</v>
      </c>
      <c r="AE329">
        <f>ROUND((EU329),6)</f>
        <v>0</v>
      </c>
      <c r="AF329">
        <f>ROUND((EV329),6)</f>
        <v>2055.91</v>
      </c>
      <c r="AG329">
        <f t="shared" si="270"/>
        <v>0</v>
      </c>
      <c r="AH329">
        <f>(EW329)</f>
        <v>3.38</v>
      </c>
      <c r="AI329">
        <f>(EX329)</f>
        <v>0</v>
      </c>
      <c r="AJ329">
        <f t="shared" si="271"/>
        <v>0</v>
      </c>
      <c r="AK329">
        <v>2061.2199999999998</v>
      </c>
      <c r="AL329">
        <v>5.31</v>
      </c>
      <c r="AM329">
        <v>0</v>
      </c>
      <c r="AN329">
        <v>0</v>
      </c>
      <c r="AO329">
        <v>2055.91</v>
      </c>
      <c r="AP329">
        <v>0</v>
      </c>
      <c r="AQ329">
        <v>3.38</v>
      </c>
      <c r="AR329">
        <v>0</v>
      </c>
      <c r="AS329">
        <v>0</v>
      </c>
      <c r="AT329">
        <v>70</v>
      </c>
      <c r="AU329">
        <v>10</v>
      </c>
      <c r="AV329">
        <v>1</v>
      </c>
      <c r="AW329">
        <v>1</v>
      </c>
      <c r="AZ329">
        <v>1</v>
      </c>
      <c r="BA329">
        <v>1</v>
      </c>
      <c r="BB329">
        <v>1</v>
      </c>
      <c r="BC329">
        <v>1</v>
      </c>
      <c r="BD329" t="s">
        <v>3</v>
      </c>
      <c r="BE329" t="s">
        <v>3</v>
      </c>
      <c r="BF329" t="s">
        <v>3</v>
      </c>
      <c r="BG329" t="s">
        <v>3</v>
      </c>
      <c r="BH329">
        <v>0</v>
      </c>
      <c r="BI329">
        <v>4</v>
      </c>
      <c r="BJ329" t="s">
        <v>220</v>
      </c>
      <c r="BM329">
        <v>0</v>
      </c>
      <c r="BN329">
        <v>0</v>
      </c>
      <c r="BO329" t="s">
        <v>3</v>
      </c>
      <c r="BP329">
        <v>0</v>
      </c>
      <c r="BQ329">
        <v>1</v>
      </c>
      <c r="BR329">
        <v>0</v>
      </c>
      <c r="BS329">
        <v>1</v>
      </c>
      <c r="BT329">
        <v>1</v>
      </c>
      <c r="BU329">
        <v>1</v>
      </c>
      <c r="BV329">
        <v>1</v>
      </c>
      <c r="BW329">
        <v>1</v>
      </c>
      <c r="BX329">
        <v>1</v>
      </c>
      <c r="BY329" t="s">
        <v>3</v>
      </c>
      <c r="BZ329">
        <v>70</v>
      </c>
      <c r="CA329">
        <v>10</v>
      </c>
      <c r="CB329" t="s">
        <v>3</v>
      </c>
      <c r="CE329">
        <v>0</v>
      </c>
      <c r="CF329">
        <v>0</v>
      </c>
      <c r="CG329">
        <v>0</v>
      </c>
      <c r="CM329">
        <v>0</v>
      </c>
      <c r="CN329" t="s">
        <v>3</v>
      </c>
      <c r="CO329">
        <v>0</v>
      </c>
      <c r="CP329">
        <f t="shared" si="272"/>
        <v>16489.759999999998</v>
      </c>
      <c r="CQ329">
        <f t="shared" si="273"/>
        <v>5.31</v>
      </c>
      <c r="CR329">
        <f>((((ET329)*BB329-(EU329)*BS329)+AE329*BS329)*AV329)</f>
        <v>0</v>
      </c>
      <c r="CS329">
        <f t="shared" si="274"/>
        <v>0</v>
      </c>
      <c r="CT329">
        <f t="shared" si="275"/>
        <v>2055.91</v>
      </c>
      <c r="CU329">
        <f t="shared" si="276"/>
        <v>0</v>
      </c>
      <c r="CV329">
        <f t="shared" si="277"/>
        <v>3.38</v>
      </c>
      <c r="CW329">
        <f t="shared" si="278"/>
        <v>0</v>
      </c>
      <c r="CX329">
        <f t="shared" si="279"/>
        <v>0</v>
      </c>
      <c r="CY329">
        <f t="shared" si="280"/>
        <v>11513.095999999998</v>
      </c>
      <c r="CZ329">
        <f t="shared" si="281"/>
        <v>1644.7279999999998</v>
      </c>
      <c r="DC329" t="s">
        <v>3</v>
      </c>
      <c r="DD329" t="s">
        <v>3</v>
      </c>
      <c r="DE329" t="s">
        <v>3</v>
      </c>
      <c r="DF329" t="s">
        <v>3</v>
      </c>
      <c r="DG329" t="s">
        <v>3</v>
      </c>
      <c r="DH329" t="s">
        <v>3</v>
      </c>
      <c r="DI329" t="s">
        <v>3</v>
      </c>
      <c r="DJ329" t="s">
        <v>3</v>
      </c>
      <c r="DK329" t="s">
        <v>3</v>
      </c>
      <c r="DL329" t="s">
        <v>3</v>
      </c>
      <c r="DM329" t="s">
        <v>3</v>
      </c>
      <c r="DN329">
        <v>0</v>
      </c>
      <c r="DO329">
        <v>0</v>
      </c>
      <c r="DP329">
        <v>1</v>
      </c>
      <c r="DQ329">
        <v>1</v>
      </c>
      <c r="DU329">
        <v>16987630</v>
      </c>
      <c r="DV329" t="s">
        <v>39</v>
      </c>
      <c r="DW329" t="s">
        <v>39</v>
      </c>
      <c r="DX329">
        <v>1</v>
      </c>
      <c r="DZ329" t="s">
        <v>3</v>
      </c>
      <c r="EA329" t="s">
        <v>3</v>
      </c>
      <c r="EB329" t="s">
        <v>3</v>
      </c>
      <c r="EC329" t="s">
        <v>3</v>
      </c>
      <c r="EE329">
        <v>1441815344</v>
      </c>
      <c r="EF329">
        <v>1</v>
      </c>
      <c r="EG329" t="s">
        <v>21</v>
      </c>
      <c r="EH329">
        <v>0</v>
      </c>
      <c r="EI329" t="s">
        <v>3</v>
      </c>
      <c r="EJ329">
        <v>4</v>
      </c>
      <c r="EK329">
        <v>0</v>
      </c>
      <c r="EL329" t="s">
        <v>22</v>
      </c>
      <c r="EM329" t="s">
        <v>23</v>
      </c>
      <c r="EO329" t="s">
        <v>3</v>
      </c>
      <c r="EQ329">
        <v>1311744</v>
      </c>
      <c r="ER329">
        <v>2061.2199999999998</v>
      </c>
      <c r="ES329">
        <v>5.31</v>
      </c>
      <c r="ET329">
        <v>0</v>
      </c>
      <c r="EU329">
        <v>0</v>
      </c>
      <c r="EV329">
        <v>2055.91</v>
      </c>
      <c r="EW329">
        <v>3.38</v>
      </c>
      <c r="EX329">
        <v>0</v>
      </c>
      <c r="EY329">
        <v>0</v>
      </c>
      <c r="FQ329">
        <v>0</v>
      </c>
      <c r="FR329">
        <f t="shared" si="282"/>
        <v>0</v>
      </c>
      <c r="FS329">
        <v>0</v>
      </c>
      <c r="FX329">
        <v>70</v>
      </c>
      <c r="FY329">
        <v>10</v>
      </c>
      <c r="GA329" t="s">
        <v>3</v>
      </c>
      <c r="GD329">
        <v>0</v>
      </c>
      <c r="GF329">
        <v>734292325</v>
      </c>
      <c r="GG329">
        <v>2</v>
      </c>
      <c r="GH329">
        <v>1</v>
      </c>
      <c r="GI329">
        <v>-2</v>
      </c>
      <c r="GJ329">
        <v>0</v>
      </c>
      <c r="GK329">
        <f>ROUND(R329*(R12)/100,2)</f>
        <v>0</v>
      </c>
      <c r="GL329">
        <f t="shared" si="283"/>
        <v>0</v>
      </c>
      <c r="GM329">
        <f t="shared" si="284"/>
        <v>29647.59</v>
      </c>
      <c r="GN329">
        <f t="shared" si="285"/>
        <v>0</v>
      </c>
      <c r="GO329">
        <f t="shared" si="286"/>
        <v>0</v>
      </c>
      <c r="GP329">
        <f t="shared" si="287"/>
        <v>29647.59</v>
      </c>
      <c r="GR329">
        <v>0</v>
      </c>
      <c r="GS329">
        <v>3</v>
      </c>
      <c r="GT329">
        <v>0</v>
      </c>
      <c r="GU329" t="s">
        <v>3</v>
      </c>
      <c r="GV329">
        <f t="shared" si="288"/>
        <v>0</v>
      </c>
      <c r="GW329">
        <v>1</v>
      </c>
      <c r="GX329">
        <f t="shared" si="289"/>
        <v>0</v>
      </c>
      <c r="HA329">
        <v>0</v>
      </c>
      <c r="HB329">
        <v>0</v>
      </c>
      <c r="HC329">
        <f t="shared" si="290"/>
        <v>0</v>
      </c>
      <c r="HE329" t="s">
        <v>3</v>
      </c>
      <c r="HF329" t="s">
        <v>3</v>
      </c>
      <c r="HM329" t="s">
        <v>3</v>
      </c>
      <c r="HN329" t="s">
        <v>3</v>
      </c>
      <c r="HO329" t="s">
        <v>3</v>
      </c>
      <c r="HP329" t="s">
        <v>3</v>
      </c>
      <c r="HQ329" t="s">
        <v>3</v>
      </c>
      <c r="IK329">
        <v>0</v>
      </c>
    </row>
    <row r="330" spans="1:245" x14ac:dyDescent="0.2">
      <c r="A330">
        <v>17</v>
      </c>
      <c r="B330">
        <v>1</v>
      </c>
      <c r="D330">
        <f>ROW(EtalonRes!A205)</f>
        <v>205</v>
      </c>
      <c r="E330" t="s">
        <v>274</v>
      </c>
      <c r="F330" t="s">
        <v>222</v>
      </c>
      <c r="G330" t="s">
        <v>223</v>
      </c>
      <c r="H330" t="s">
        <v>31</v>
      </c>
      <c r="I330">
        <f>ROUND((1*4)/100,9)</f>
        <v>0.04</v>
      </c>
      <c r="J330">
        <v>0</v>
      </c>
      <c r="K330">
        <f>ROUND((1*4)/100,9)</f>
        <v>0.04</v>
      </c>
      <c r="O330">
        <f t="shared" si="258"/>
        <v>659.99</v>
      </c>
      <c r="P330">
        <f t="shared" si="259"/>
        <v>0.15</v>
      </c>
      <c r="Q330">
        <f t="shared" si="260"/>
        <v>145.94</v>
      </c>
      <c r="R330">
        <f t="shared" si="261"/>
        <v>92.53</v>
      </c>
      <c r="S330">
        <f t="shared" si="262"/>
        <v>513.9</v>
      </c>
      <c r="T330">
        <f t="shared" si="263"/>
        <v>0</v>
      </c>
      <c r="U330">
        <f t="shared" si="264"/>
        <v>0.96</v>
      </c>
      <c r="V330">
        <f t="shared" si="265"/>
        <v>0</v>
      </c>
      <c r="W330">
        <f t="shared" si="266"/>
        <v>0</v>
      </c>
      <c r="X330">
        <f t="shared" si="267"/>
        <v>359.73</v>
      </c>
      <c r="Y330">
        <f t="shared" si="268"/>
        <v>51.39</v>
      </c>
      <c r="AA330">
        <v>1471531721</v>
      </c>
      <c r="AB330">
        <f t="shared" si="269"/>
        <v>16499.759999999998</v>
      </c>
      <c r="AC330">
        <f>ROUND(((ES330*4)),6)</f>
        <v>3.76</v>
      </c>
      <c r="AD330">
        <f>ROUND(((((ET330*4))-((EU330*4)))+AE330),6)</f>
        <v>3648.44</v>
      </c>
      <c r="AE330">
        <f>ROUND(((EU330*4)),6)</f>
        <v>2313.36</v>
      </c>
      <c r="AF330">
        <f>ROUND(((EV330*4)),6)</f>
        <v>12847.56</v>
      </c>
      <c r="AG330">
        <f t="shared" si="270"/>
        <v>0</v>
      </c>
      <c r="AH330">
        <f>((EW330*4))</f>
        <v>24</v>
      </c>
      <c r="AI330">
        <f>((EX330*4))</f>
        <v>0</v>
      </c>
      <c r="AJ330">
        <f t="shared" si="271"/>
        <v>0</v>
      </c>
      <c r="AK330">
        <v>4124.9399999999996</v>
      </c>
      <c r="AL330">
        <v>0.94</v>
      </c>
      <c r="AM330">
        <v>912.11</v>
      </c>
      <c r="AN330">
        <v>578.34</v>
      </c>
      <c r="AO330">
        <v>3211.89</v>
      </c>
      <c r="AP330">
        <v>0</v>
      </c>
      <c r="AQ330">
        <v>6</v>
      </c>
      <c r="AR330">
        <v>0</v>
      </c>
      <c r="AS330">
        <v>0</v>
      </c>
      <c r="AT330">
        <v>70</v>
      </c>
      <c r="AU330">
        <v>10</v>
      </c>
      <c r="AV330">
        <v>1</v>
      </c>
      <c r="AW330">
        <v>1</v>
      </c>
      <c r="AZ330">
        <v>1</v>
      </c>
      <c r="BA330">
        <v>1</v>
      </c>
      <c r="BB330">
        <v>1</v>
      </c>
      <c r="BC330">
        <v>1</v>
      </c>
      <c r="BD330" t="s">
        <v>3</v>
      </c>
      <c r="BE330" t="s">
        <v>3</v>
      </c>
      <c r="BF330" t="s">
        <v>3</v>
      </c>
      <c r="BG330" t="s">
        <v>3</v>
      </c>
      <c r="BH330">
        <v>0</v>
      </c>
      <c r="BI330">
        <v>4</v>
      </c>
      <c r="BJ330" t="s">
        <v>224</v>
      </c>
      <c r="BM330">
        <v>0</v>
      </c>
      <c r="BN330">
        <v>0</v>
      </c>
      <c r="BO330" t="s">
        <v>3</v>
      </c>
      <c r="BP330">
        <v>0</v>
      </c>
      <c r="BQ330">
        <v>1</v>
      </c>
      <c r="BR330">
        <v>0</v>
      </c>
      <c r="BS330">
        <v>1</v>
      </c>
      <c r="BT330">
        <v>1</v>
      </c>
      <c r="BU330">
        <v>1</v>
      </c>
      <c r="BV330">
        <v>1</v>
      </c>
      <c r="BW330">
        <v>1</v>
      </c>
      <c r="BX330">
        <v>1</v>
      </c>
      <c r="BY330" t="s">
        <v>3</v>
      </c>
      <c r="BZ330">
        <v>70</v>
      </c>
      <c r="CA330">
        <v>10</v>
      </c>
      <c r="CB330" t="s">
        <v>3</v>
      </c>
      <c r="CE330">
        <v>0</v>
      </c>
      <c r="CF330">
        <v>0</v>
      </c>
      <c r="CG330">
        <v>0</v>
      </c>
      <c r="CM330">
        <v>0</v>
      </c>
      <c r="CN330" t="s">
        <v>3</v>
      </c>
      <c r="CO330">
        <v>0</v>
      </c>
      <c r="CP330">
        <f t="shared" si="272"/>
        <v>659.99</v>
      </c>
      <c r="CQ330">
        <f t="shared" si="273"/>
        <v>3.76</v>
      </c>
      <c r="CR330">
        <f>(((((ET330*4))*BB330-((EU330*4))*BS330)+AE330*BS330)*AV330)</f>
        <v>3648.44</v>
      </c>
      <c r="CS330">
        <f t="shared" si="274"/>
        <v>2313.36</v>
      </c>
      <c r="CT330">
        <f t="shared" si="275"/>
        <v>12847.56</v>
      </c>
      <c r="CU330">
        <f t="shared" si="276"/>
        <v>0</v>
      </c>
      <c r="CV330">
        <f t="shared" si="277"/>
        <v>24</v>
      </c>
      <c r="CW330">
        <f t="shared" si="278"/>
        <v>0</v>
      </c>
      <c r="CX330">
        <f t="shared" si="279"/>
        <v>0</v>
      </c>
      <c r="CY330">
        <f t="shared" si="280"/>
        <v>359.73</v>
      </c>
      <c r="CZ330">
        <f t="shared" si="281"/>
        <v>51.39</v>
      </c>
      <c r="DC330" t="s">
        <v>3</v>
      </c>
      <c r="DD330" t="s">
        <v>57</v>
      </c>
      <c r="DE330" t="s">
        <v>57</v>
      </c>
      <c r="DF330" t="s">
        <v>57</v>
      </c>
      <c r="DG330" t="s">
        <v>57</v>
      </c>
      <c r="DH330" t="s">
        <v>3</v>
      </c>
      <c r="DI330" t="s">
        <v>57</v>
      </c>
      <c r="DJ330" t="s">
        <v>57</v>
      </c>
      <c r="DK330" t="s">
        <v>3</v>
      </c>
      <c r="DL330" t="s">
        <v>3</v>
      </c>
      <c r="DM330" t="s">
        <v>3</v>
      </c>
      <c r="DN330">
        <v>0</v>
      </c>
      <c r="DO330">
        <v>0</v>
      </c>
      <c r="DP330">
        <v>1</v>
      </c>
      <c r="DQ330">
        <v>1</v>
      </c>
      <c r="DU330">
        <v>16987630</v>
      </c>
      <c r="DV330" t="s">
        <v>31</v>
      </c>
      <c r="DW330" t="s">
        <v>31</v>
      </c>
      <c r="DX330">
        <v>100</v>
      </c>
      <c r="DZ330" t="s">
        <v>3</v>
      </c>
      <c r="EA330" t="s">
        <v>3</v>
      </c>
      <c r="EB330" t="s">
        <v>3</v>
      </c>
      <c r="EC330" t="s">
        <v>3</v>
      </c>
      <c r="EE330">
        <v>1441815344</v>
      </c>
      <c r="EF330">
        <v>1</v>
      </c>
      <c r="EG330" t="s">
        <v>21</v>
      </c>
      <c r="EH330">
        <v>0</v>
      </c>
      <c r="EI330" t="s">
        <v>3</v>
      </c>
      <c r="EJ330">
        <v>4</v>
      </c>
      <c r="EK330">
        <v>0</v>
      </c>
      <c r="EL330" t="s">
        <v>22</v>
      </c>
      <c r="EM330" t="s">
        <v>23</v>
      </c>
      <c r="EO330" t="s">
        <v>3</v>
      </c>
      <c r="EQ330">
        <v>0</v>
      </c>
      <c r="ER330">
        <v>4124.9399999999996</v>
      </c>
      <c r="ES330">
        <v>0.94</v>
      </c>
      <c r="ET330">
        <v>912.11</v>
      </c>
      <c r="EU330">
        <v>578.34</v>
      </c>
      <c r="EV330">
        <v>3211.89</v>
      </c>
      <c r="EW330">
        <v>6</v>
      </c>
      <c r="EX330">
        <v>0</v>
      </c>
      <c r="EY330">
        <v>0</v>
      </c>
      <c r="FQ330">
        <v>0</v>
      </c>
      <c r="FR330">
        <f t="shared" si="282"/>
        <v>0</v>
      </c>
      <c r="FS330">
        <v>0</v>
      </c>
      <c r="FX330">
        <v>70</v>
      </c>
      <c r="FY330">
        <v>10</v>
      </c>
      <c r="GA330" t="s">
        <v>3</v>
      </c>
      <c r="GD330">
        <v>0</v>
      </c>
      <c r="GF330">
        <v>-121747724</v>
      </c>
      <c r="GG330">
        <v>2</v>
      </c>
      <c r="GH330">
        <v>1</v>
      </c>
      <c r="GI330">
        <v>-2</v>
      </c>
      <c r="GJ330">
        <v>0</v>
      </c>
      <c r="GK330">
        <f>ROUND(R330*(R12)/100,2)</f>
        <v>99.93</v>
      </c>
      <c r="GL330">
        <f t="shared" si="283"/>
        <v>0</v>
      </c>
      <c r="GM330">
        <f t="shared" si="284"/>
        <v>1171.04</v>
      </c>
      <c r="GN330">
        <f t="shared" si="285"/>
        <v>0</v>
      </c>
      <c r="GO330">
        <f t="shared" si="286"/>
        <v>0</v>
      </c>
      <c r="GP330">
        <f t="shared" si="287"/>
        <v>1171.04</v>
      </c>
      <c r="GR330">
        <v>0</v>
      </c>
      <c r="GS330">
        <v>3</v>
      </c>
      <c r="GT330">
        <v>0</v>
      </c>
      <c r="GU330" t="s">
        <v>3</v>
      </c>
      <c r="GV330">
        <f t="shared" si="288"/>
        <v>0</v>
      </c>
      <c r="GW330">
        <v>1</v>
      </c>
      <c r="GX330">
        <f t="shared" si="289"/>
        <v>0</v>
      </c>
      <c r="HA330">
        <v>0</v>
      </c>
      <c r="HB330">
        <v>0</v>
      </c>
      <c r="HC330">
        <f t="shared" si="290"/>
        <v>0</v>
      </c>
      <c r="HE330" t="s">
        <v>3</v>
      </c>
      <c r="HF330" t="s">
        <v>3</v>
      </c>
      <c r="HM330" t="s">
        <v>3</v>
      </c>
      <c r="HN330" t="s">
        <v>3</v>
      </c>
      <c r="HO330" t="s">
        <v>3</v>
      </c>
      <c r="HP330" t="s">
        <v>3</v>
      </c>
      <c r="HQ330" t="s">
        <v>3</v>
      </c>
      <c r="IK330">
        <v>0</v>
      </c>
    </row>
    <row r="331" spans="1:245" x14ac:dyDescent="0.2">
      <c r="A331">
        <v>17</v>
      </c>
      <c r="B331">
        <v>1</v>
      </c>
      <c r="D331">
        <f>ROW(EtalonRes!A207)</f>
        <v>207</v>
      </c>
      <c r="E331" t="s">
        <v>3</v>
      </c>
      <c r="F331" t="s">
        <v>225</v>
      </c>
      <c r="G331" t="s">
        <v>226</v>
      </c>
      <c r="H331" t="s">
        <v>18</v>
      </c>
      <c r="I331">
        <f>ROUND((4*4)/10,9)</f>
        <v>1.6</v>
      </c>
      <c r="J331">
        <v>0</v>
      </c>
      <c r="K331">
        <f>ROUND((4*4)/10,9)</f>
        <v>1.6</v>
      </c>
      <c r="O331">
        <f t="shared" si="258"/>
        <v>405.28</v>
      </c>
      <c r="P331">
        <f t="shared" si="259"/>
        <v>10.08</v>
      </c>
      <c r="Q331">
        <f t="shared" si="260"/>
        <v>0</v>
      </c>
      <c r="R331">
        <f t="shared" si="261"/>
        <v>0</v>
      </c>
      <c r="S331">
        <f t="shared" si="262"/>
        <v>395.2</v>
      </c>
      <c r="T331">
        <f t="shared" si="263"/>
        <v>0</v>
      </c>
      <c r="U331">
        <f t="shared" si="264"/>
        <v>0.64000000000000012</v>
      </c>
      <c r="V331">
        <f t="shared" si="265"/>
        <v>0</v>
      </c>
      <c r="W331">
        <f t="shared" si="266"/>
        <v>0</v>
      </c>
      <c r="X331">
        <f t="shared" si="267"/>
        <v>276.64</v>
      </c>
      <c r="Y331">
        <f t="shared" si="268"/>
        <v>39.520000000000003</v>
      </c>
      <c r="AA331">
        <v>-1</v>
      </c>
      <c r="AB331">
        <f t="shared" si="269"/>
        <v>253.3</v>
      </c>
      <c r="AC331">
        <f>ROUND((ES331),6)</f>
        <v>6.3</v>
      </c>
      <c r="AD331">
        <f>ROUND((((ET331)-(EU331))+AE331),6)</f>
        <v>0</v>
      </c>
      <c r="AE331">
        <f>ROUND((EU331),6)</f>
        <v>0</v>
      </c>
      <c r="AF331">
        <f>ROUND((EV331),6)</f>
        <v>247</v>
      </c>
      <c r="AG331">
        <f t="shared" si="270"/>
        <v>0</v>
      </c>
      <c r="AH331">
        <f>(EW331)</f>
        <v>0.4</v>
      </c>
      <c r="AI331">
        <f>(EX331)</f>
        <v>0</v>
      </c>
      <c r="AJ331">
        <f t="shared" si="271"/>
        <v>0</v>
      </c>
      <c r="AK331">
        <v>253.3</v>
      </c>
      <c r="AL331">
        <v>6.3</v>
      </c>
      <c r="AM331">
        <v>0</v>
      </c>
      <c r="AN331">
        <v>0</v>
      </c>
      <c r="AO331">
        <v>247</v>
      </c>
      <c r="AP331">
        <v>0</v>
      </c>
      <c r="AQ331">
        <v>0.4</v>
      </c>
      <c r="AR331">
        <v>0</v>
      </c>
      <c r="AS331">
        <v>0</v>
      </c>
      <c r="AT331">
        <v>70</v>
      </c>
      <c r="AU331">
        <v>10</v>
      </c>
      <c r="AV331">
        <v>1</v>
      </c>
      <c r="AW331">
        <v>1</v>
      </c>
      <c r="AZ331">
        <v>1</v>
      </c>
      <c r="BA331">
        <v>1</v>
      </c>
      <c r="BB331">
        <v>1</v>
      </c>
      <c r="BC331">
        <v>1</v>
      </c>
      <c r="BD331" t="s">
        <v>3</v>
      </c>
      <c r="BE331" t="s">
        <v>3</v>
      </c>
      <c r="BF331" t="s">
        <v>3</v>
      </c>
      <c r="BG331" t="s">
        <v>3</v>
      </c>
      <c r="BH331">
        <v>0</v>
      </c>
      <c r="BI331">
        <v>4</v>
      </c>
      <c r="BJ331" t="s">
        <v>227</v>
      </c>
      <c r="BM331">
        <v>0</v>
      </c>
      <c r="BN331">
        <v>0</v>
      </c>
      <c r="BO331" t="s">
        <v>3</v>
      </c>
      <c r="BP331">
        <v>0</v>
      </c>
      <c r="BQ331">
        <v>1</v>
      </c>
      <c r="BR331">
        <v>0</v>
      </c>
      <c r="BS331">
        <v>1</v>
      </c>
      <c r="BT331">
        <v>1</v>
      </c>
      <c r="BU331">
        <v>1</v>
      </c>
      <c r="BV331">
        <v>1</v>
      </c>
      <c r="BW331">
        <v>1</v>
      </c>
      <c r="BX331">
        <v>1</v>
      </c>
      <c r="BY331" t="s">
        <v>3</v>
      </c>
      <c r="BZ331">
        <v>70</v>
      </c>
      <c r="CA331">
        <v>10</v>
      </c>
      <c r="CB331" t="s">
        <v>3</v>
      </c>
      <c r="CE331">
        <v>0</v>
      </c>
      <c r="CF331">
        <v>0</v>
      </c>
      <c r="CG331">
        <v>0</v>
      </c>
      <c r="CM331">
        <v>0</v>
      </c>
      <c r="CN331" t="s">
        <v>3</v>
      </c>
      <c r="CO331">
        <v>0</v>
      </c>
      <c r="CP331">
        <f t="shared" si="272"/>
        <v>405.28</v>
      </c>
      <c r="CQ331">
        <f t="shared" si="273"/>
        <v>6.3</v>
      </c>
      <c r="CR331">
        <f>((((ET331)*BB331-(EU331)*BS331)+AE331*BS331)*AV331)</f>
        <v>0</v>
      </c>
      <c r="CS331">
        <f t="shared" si="274"/>
        <v>0</v>
      </c>
      <c r="CT331">
        <f t="shared" si="275"/>
        <v>247</v>
      </c>
      <c r="CU331">
        <f t="shared" si="276"/>
        <v>0</v>
      </c>
      <c r="CV331">
        <f t="shared" si="277"/>
        <v>0.4</v>
      </c>
      <c r="CW331">
        <f t="shared" si="278"/>
        <v>0</v>
      </c>
      <c r="CX331">
        <f t="shared" si="279"/>
        <v>0</v>
      </c>
      <c r="CY331">
        <f t="shared" si="280"/>
        <v>276.64</v>
      </c>
      <c r="CZ331">
        <f t="shared" si="281"/>
        <v>39.520000000000003</v>
      </c>
      <c r="DC331" t="s">
        <v>3</v>
      </c>
      <c r="DD331" t="s">
        <v>3</v>
      </c>
      <c r="DE331" t="s">
        <v>3</v>
      </c>
      <c r="DF331" t="s">
        <v>3</v>
      </c>
      <c r="DG331" t="s">
        <v>3</v>
      </c>
      <c r="DH331" t="s">
        <v>3</v>
      </c>
      <c r="DI331" t="s">
        <v>3</v>
      </c>
      <c r="DJ331" t="s">
        <v>3</v>
      </c>
      <c r="DK331" t="s">
        <v>3</v>
      </c>
      <c r="DL331" t="s">
        <v>3</v>
      </c>
      <c r="DM331" t="s">
        <v>3</v>
      </c>
      <c r="DN331">
        <v>0</v>
      </c>
      <c r="DO331">
        <v>0</v>
      </c>
      <c r="DP331">
        <v>1</v>
      </c>
      <c r="DQ331">
        <v>1</v>
      </c>
      <c r="DU331">
        <v>16987630</v>
      </c>
      <c r="DV331" t="s">
        <v>18</v>
      </c>
      <c r="DW331" t="s">
        <v>18</v>
      </c>
      <c r="DX331">
        <v>10</v>
      </c>
      <c r="DZ331" t="s">
        <v>3</v>
      </c>
      <c r="EA331" t="s">
        <v>3</v>
      </c>
      <c r="EB331" t="s">
        <v>3</v>
      </c>
      <c r="EC331" t="s">
        <v>3</v>
      </c>
      <c r="EE331">
        <v>1441815344</v>
      </c>
      <c r="EF331">
        <v>1</v>
      </c>
      <c r="EG331" t="s">
        <v>21</v>
      </c>
      <c r="EH331">
        <v>0</v>
      </c>
      <c r="EI331" t="s">
        <v>3</v>
      </c>
      <c r="EJ331">
        <v>4</v>
      </c>
      <c r="EK331">
        <v>0</v>
      </c>
      <c r="EL331" t="s">
        <v>22</v>
      </c>
      <c r="EM331" t="s">
        <v>23</v>
      </c>
      <c r="EO331" t="s">
        <v>3</v>
      </c>
      <c r="EQ331">
        <v>1024</v>
      </c>
      <c r="ER331">
        <v>253.3</v>
      </c>
      <c r="ES331">
        <v>6.3</v>
      </c>
      <c r="ET331">
        <v>0</v>
      </c>
      <c r="EU331">
        <v>0</v>
      </c>
      <c r="EV331">
        <v>247</v>
      </c>
      <c r="EW331">
        <v>0.4</v>
      </c>
      <c r="EX331">
        <v>0</v>
      </c>
      <c r="EY331">
        <v>0</v>
      </c>
      <c r="FQ331">
        <v>0</v>
      </c>
      <c r="FR331">
        <f t="shared" si="282"/>
        <v>0</v>
      </c>
      <c r="FS331">
        <v>0</v>
      </c>
      <c r="FX331">
        <v>70</v>
      </c>
      <c r="FY331">
        <v>10</v>
      </c>
      <c r="GA331" t="s">
        <v>3</v>
      </c>
      <c r="GD331">
        <v>0</v>
      </c>
      <c r="GF331">
        <v>526043079</v>
      </c>
      <c r="GG331">
        <v>2</v>
      </c>
      <c r="GH331">
        <v>1</v>
      </c>
      <c r="GI331">
        <v>-2</v>
      </c>
      <c r="GJ331">
        <v>0</v>
      </c>
      <c r="GK331">
        <f>ROUND(R331*(R12)/100,2)</f>
        <v>0</v>
      </c>
      <c r="GL331">
        <f t="shared" si="283"/>
        <v>0</v>
      </c>
      <c r="GM331">
        <f t="shared" si="284"/>
        <v>721.44</v>
      </c>
      <c r="GN331">
        <f t="shared" si="285"/>
        <v>0</v>
      </c>
      <c r="GO331">
        <f t="shared" si="286"/>
        <v>0</v>
      </c>
      <c r="GP331">
        <f t="shared" si="287"/>
        <v>721.44</v>
      </c>
      <c r="GR331">
        <v>0</v>
      </c>
      <c r="GS331">
        <v>3</v>
      </c>
      <c r="GT331">
        <v>0</v>
      </c>
      <c r="GU331" t="s">
        <v>3</v>
      </c>
      <c r="GV331">
        <f t="shared" si="288"/>
        <v>0</v>
      </c>
      <c r="GW331">
        <v>1</v>
      </c>
      <c r="GX331">
        <f t="shared" si="289"/>
        <v>0</v>
      </c>
      <c r="HA331">
        <v>0</v>
      </c>
      <c r="HB331">
        <v>0</v>
      </c>
      <c r="HC331">
        <f t="shared" si="290"/>
        <v>0</v>
      </c>
      <c r="HE331" t="s">
        <v>3</v>
      </c>
      <c r="HF331" t="s">
        <v>3</v>
      </c>
      <c r="HM331" t="s">
        <v>3</v>
      </c>
      <c r="HN331" t="s">
        <v>3</v>
      </c>
      <c r="HO331" t="s">
        <v>3</v>
      </c>
      <c r="HP331" t="s">
        <v>3</v>
      </c>
      <c r="HQ331" t="s">
        <v>3</v>
      </c>
      <c r="IK331">
        <v>0</v>
      </c>
    </row>
    <row r="332" spans="1:245" x14ac:dyDescent="0.2">
      <c r="A332">
        <v>17</v>
      </c>
      <c r="B332">
        <v>1</v>
      </c>
      <c r="D332">
        <f>ROW(EtalonRes!A209)</f>
        <v>209</v>
      </c>
      <c r="E332" t="s">
        <v>275</v>
      </c>
      <c r="F332" t="s">
        <v>229</v>
      </c>
      <c r="G332" t="s">
        <v>230</v>
      </c>
      <c r="H332" t="s">
        <v>18</v>
      </c>
      <c r="I332">
        <f>ROUND((4*4)/10,9)</f>
        <v>1.6</v>
      </c>
      <c r="J332">
        <v>0</v>
      </c>
      <c r="K332">
        <f>ROUND((4*4)/10,9)</f>
        <v>1.6</v>
      </c>
      <c r="O332">
        <f t="shared" si="258"/>
        <v>187.92</v>
      </c>
      <c r="P332">
        <f t="shared" si="259"/>
        <v>10.08</v>
      </c>
      <c r="Q332">
        <f t="shared" si="260"/>
        <v>0</v>
      </c>
      <c r="R332">
        <f t="shared" si="261"/>
        <v>0</v>
      </c>
      <c r="S332">
        <f t="shared" si="262"/>
        <v>177.84</v>
      </c>
      <c r="T332">
        <f t="shared" si="263"/>
        <v>0</v>
      </c>
      <c r="U332">
        <f t="shared" si="264"/>
        <v>0.28799999999999998</v>
      </c>
      <c r="V332">
        <f t="shared" si="265"/>
        <v>0</v>
      </c>
      <c r="W332">
        <f t="shared" si="266"/>
        <v>0</v>
      </c>
      <c r="X332">
        <f t="shared" si="267"/>
        <v>124.49</v>
      </c>
      <c r="Y332">
        <f t="shared" si="268"/>
        <v>17.78</v>
      </c>
      <c r="AA332">
        <v>1471531721</v>
      </c>
      <c r="AB332">
        <f t="shared" si="269"/>
        <v>117.45</v>
      </c>
      <c r="AC332">
        <f>ROUND((ES332),6)</f>
        <v>6.3</v>
      </c>
      <c r="AD332">
        <f>ROUND((((ET332)-(EU332))+AE332),6)</f>
        <v>0</v>
      </c>
      <c r="AE332">
        <f>ROUND((EU332),6)</f>
        <v>0</v>
      </c>
      <c r="AF332">
        <f>ROUND((EV332),6)</f>
        <v>111.15</v>
      </c>
      <c r="AG332">
        <f t="shared" si="270"/>
        <v>0</v>
      </c>
      <c r="AH332">
        <f>(EW332)</f>
        <v>0.18</v>
      </c>
      <c r="AI332">
        <f>(EX332)</f>
        <v>0</v>
      </c>
      <c r="AJ332">
        <f t="shared" si="271"/>
        <v>0</v>
      </c>
      <c r="AK332">
        <v>117.45</v>
      </c>
      <c r="AL332">
        <v>6.3</v>
      </c>
      <c r="AM332">
        <v>0</v>
      </c>
      <c r="AN332">
        <v>0</v>
      </c>
      <c r="AO332">
        <v>111.15</v>
      </c>
      <c r="AP332">
        <v>0</v>
      </c>
      <c r="AQ332">
        <v>0.18</v>
      </c>
      <c r="AR332">
        <v>0</v>
      </c>
      <c r="AS332">
        <v>0</v>
      </c>
      <c r="AT332">
        <v>70</v>
      </c>
      <c r="AU332">
        <v>10</v>
      </c>
      <c r="AV332">
        <v>1</v>
      </c>
      <c r="AW332">
        <v>1</v>
      </c>
      <c r="AZ332">
        <v>1</v>
      </c>
      <c r="BA332">
        <v>1</v>
      </c>
      <c r="BB332">
        <v>1</v>
      </c>
      <c r="BC332">
        <v>1</v>
      </c>
      <c r="BD332" t="s">
        <v>3</v>
      </c>
      <c r="BE332" t="s">
        <v>3</v>
      </c>
      <c r="BF332" t="s">
        <v>3</v>
      </c>
      <c r="BG332" t="s">
        <v>3</v>
      </c>
      <c r="BH332">
        <v>0</v>
      </c>
      <c r="BI332">
        <v>4</v>
      </c>
      <c r="BJ332" t="s">
        <v>231</v>
      </c>
      <c r="BM332">
        <v>0</v>
      </c>
      <c r="BN332">
        <v>0</v>
      </c>
      <c r="BO332" t="s">
        <v>3</v>
      </c>
      <c r="BP332">
        <v>0</v>
      </c>
      <c r="BQ332">
        <v>1</v>
      </c>
      <c r="BR332">
        <v>0</v>
      </c>
      <c r="BS332">
        <v>1</v>
      </c>
      <c r="BT332">
        <v>1</v>
      </c>
      <c r="BU332">
        <v>1</v>
      </c>
      <c r="BV332">
        <v>1</v>
      </c>
      <c r="BW332">
        <v>1</v>
      </c>
      <c r="BX332">
        <v>1</v>
      </c>
      <c r="BY332" t="s">
        <v>3</v>
      </c>
      <c r="BZ332">
        <v>70</v>
      </c>
      <c r="CA332">
        <v>10</v>
      </c>
      <c r="CB332" t="s">
        <v>3</v>
      </c>
      <c r="CE332">
        <v>0</v>
      </c>
      <c r="CF332">
        <v>0</v>
      </c>
      <c r="CG332">
        <v>0</v>
      </c>
      <c r="CM332">
        <v>0</v>
      </c>
      <c r="CN332" t="s">
        <v>3</v>
      </c>
      <c r="CO332">
        <v>0</v>
      </c>
      <c r="CP332">
        <f t="shared" si="272"/>
        <v>187.92000000000002</v>
      </c>
      <c r="CQ332">
        <f t="shared" si="273"/>
        <v>6.3</v>
      </c>
      <c r="CR332">
        <f>((((ET332)*BB332-(EU332)*BS332)+AE332*BS332)*AV332)</f>
        <v>0</v>
      </c>
      <c r="CS332">
        <f t="shared" si="274"/>
        <v>0</v>
      </c>
      <c r="CT332">
        <f t="shared" si="275"/>
        <v>111.15</v>
      </c>
      <c r="CU332">
        <f t="shared" si="276"/>
        <v>0</v>
      </c>
      <c r="CV332">
        <f t="shared" si="277"/>
        <v>0.18</v>
      </c>
      <c r="CW332">
        <f t="shared" si="278"/>
        <v>0</v>
      </c>
      <c r="CX332">
        <f t="shared" si="279"/>
        <v>0</v>
      </c>
      <c r="CY332">
        <f t="shared" si="280"/>
        <v>124.48800000000001</v>
      </c>
      <c r="CZ332">
        <f t="shared" si="281"/>
        <v>17.784000000000002</v>
      </c>
      <c r="DC332" t="s">
        <v>3</v>
      </c>
      <c r="DD332" t="s">
        <v>3</v>
      </c>
      <c r="DE332" t="s">
        <v>3</v>
      </c>
      <c r="DF332" t="s">
        <v>3</v>
      </c>
      <c r="DG332" t="s">
        <v>3</v>
      </c>
      <c r="DH332" t="s">
        <v>3</v>
      </c>
      <c r="DI332" t="s">
        <v>3</v>
      </c>
      <c r="DJ332" t="s">
        <v>3</v>
      </c>
      <c r="DK332" t="s">
        <v>3</v>
      </c>
      <c r="DL332" t="s">
        <v>3</v>
      </c>
      <c r="DM332" t="s">
        <v>3</v>
      </c>
      <c r="DN332">
        <v>0</v>
      </c>
      <c r="DO332">
        <v>0</v>
      </c>
      <c r="DP332">
        <v>1</v>
      </c>
      <c r="DQ332">
        <v>1</v>
      </c>
      <c r="DU332">
        <v>16987630</v>
      </c>
      <c r="DV332" t="s">
        <v>18</v>
      </c>
      <c r="DW332" t="s">
        <v>18</v>
      </c>
      <c r="DX332">
        <v>10</v>
      </c>
      <c r="DZ332" t="s">
        <v>3</v>
      </c>
      <c r="EA332" t="s">
        <v>3</v>
      </c>
      <c r="EB332" t="s">
        <v>3</v>
      </c>
      <c r="EC332" t="s">
        <v>3</v>
      </c>
      <c r="EE332">
        <v>1441815344</v>
      </c>
      <c r="EF332">
        <v>1</v>
      </c>
      <c r="EG332" t="s">
        <v>21</v>
      </c>
      <c r="EH332">
        <v>0</v>
      </c>
      <c r="EI332" t="s">
        <v>3</v>
      </c>
      <c r="EJ332">
        <v>4</v>
      </c>
      <c r="EK332">
        <v>0</v>
      </c>
      <c r="EL332" t="s">
        <v>22</v>
      </c>
      <c r="EM332" t="s">
        <v>23</v>
      </c>
      <c r="EO332" t="s">
        <v>3</v>
      </c>
      <c r="EQ332">
        <v>0</v>
      </c>
      <c r="ER332">
        <v>117.45</v>
      </c>
      <c r="ES332">
        <v>6.3</v>
      </c>
      <c r="ET332">
        <v>0</v>
      </c>
      <c r="EU332">
        <v>0</v>
      </c>
      <c r="EV332">
        <v>111.15</v>
      </c>
      <c r="EW332">
        <v>0.18</v>
      </c>
      <c r="EX332">
        <v>0</v>
      </c>
      <c r="EY332">
        <v>0</v>
      </c>
      <c r="FQ332">
        <v>0</v>
      </c>
      <c r="FR332">
        <f t="shared" si="282"/>
        <v>0</v>
      </c>
      <c r="FS332">
        <v>0</v>
      </c>
      <c r="FX332">
        <v>70</v>
      </c>
      <c r="FY332">
        <v>10</v>
      </c>
      <c r="GA332" t="s">
        <v>3</v>
      </c>
      <c r="GD332">
        <v>0</v>
      </c>
      <c r="GF332">
        <v>1310870617</v>
      </c>
      <c r="GG332">
        <v>2</v>
      </c>
      <c r="GH332">
        <v>1</v>
      </c>
      <c r="GI332">
        <v>-2</v>
      </c>
      <c r="GJ332">
        <v>0</v>
      </c>
      <c r="GK332">
        <f>ROUND(R332*(R12)/100,2)</f>
        <v>0</v>
      </c>
      <c r="GL332">
        <f t="shared" si="283"/>
        <v>0</v>
      </c>
      <c r="GM332">
        <f t="shared" si="284"/>
        <v>330.19</v>
      </c>
      <c r="GN332">
        <f t="shared" si="285"/>
        <v>0</v>
      </c>
      <c r="GO332">
        <f t="shared" si="286"/>
        <v>0</v>
      </c>
      <c r="GP332">
        <f t="shared" si="287"/>
        <v>330.19</v>
      </c>
      <c r="GR332">
        <v>0</v>
      </c>
      <c r="GS332">
        <v>3</v>
      </c>
      <c r="GT332">
        <v>0</v>
      </c>
      <c r="GU332" t="s">
        <v>3</v>
      </c>
      <c r="GV332">
        <f t="shared" si="288"/>
        <v>0</v>
      </c>
      <c r="GW332">
        <v>1</v>
      </c>
      <c r="GX332">
        <f t="shared" si="289"/>
        <v>0</v>
      </c>
      <c r="HA332">
        <v>0</v>
      </c>
      <c r="HB332">
        <v>0</v>
      </c>
      <c r="HC332">
        <f t="shared" si="290"/>
        <v>0</v>
      </c>
      <c r="HE332" t="s">
        <v>3</v>
      </c>
      <c r="HF332" t="s">
        <v>3</v>
      </c>
      <c r="HM332" t="s">
        <v>3</v>
      </c>
      <c r="HN332" t="s">
        <v>3</v>
      </c>
      <c r="HO332" t="s">
        <v>3</v>
      </c>
      <c r="HP332" t="s">
        <v>3</v>
      </c>
      <c r="HQ332" t="s">
        <v>3</v>
      </c>
      <c r="IK332">
        <v>0</v>
      </c>
    </row>
    <row r="333" spans="1:245" x14ac:dyDescent="0.2">
      <c r="A333">
        <v>17</v>
      </c>
      <c r="B333">
        <v>1</v>
      </c>
      <c r="D333">
        <f>ROW(EtalonRes!A210)</f>
        <v>210</v>
      </c>
      <c r="E333" t="s">
        <v>3</v>
      </c>
      <c r="F333" t="s">
        <v>232</v>
      </c>
      <c r="G333" t="s">
        <v>233</v>
      </c>
      <c r="H333" t="s">
        <v>31</v>
      </c>
      <c r="I333">
        <f>ROUND((4*4)/100,9)</f>
        <v>0.16</v>
      </c>
      <c r="J333">
        <v>0</v>
      </c>
      <c r="K333">
        <f>ROUND((4*4)/100,9)</f>
        <v>0.16</v>
      </c>
      <c r="O333">
        <f t="shared" si="258"/>
        <v>58.39</v>
      </c>
      <c r="P333">
        <f t="shared" si="259"/>
        <v>0</v>
      </c>
      <c r="Q333">
        <f t="shared" si="260"/>
        <v>0</v>
      </c>
      <c r="R333">
        <f t="shared" si="261"/>
        <v>0</v>
      </c>
      <c r="S333">
        <f t="shared" si="262"/>
        <v>58.39</v>
      </c>
      <c r="T333">
        <f t="shared" si="263"/>
        <v>0</v>
      </c>
      <c r="U333">
        <f t="shared" si="264"/>
        <v>0.1152</v>
      </c>
      <c r="V333">
        <f t="shared" si="265"/>
        <v>0</v>
      </c>
      <c r="W333">
        <f t="shared" si="266"/>
        <v>0</v>
      </c>
      <c r="X333">
        <f t="shared" si="267"/>
        <v>40.869999999999997</v>
      </c>
      <c r="Y333">
        <f t="shared" si="268"/>
        <v>5.84</v>
      </c>
      <c r="AA333">
        <v>-1</v>
      </c>
      <c r="AB333">
        <f t="shared" si="269"/>
        <v>364.92</v>
      </c>
      <c r="AC333">
        <f>ROUND(((ES333*3)),6)</f>
        <v>0</v>
      </c>
      <c r="AD333">
        <f>ROUND(((((ET333*3))-((EU333*3)))+AE333),6)</f>
        <v>0</v>
      </c>
      <c r="AE333">
        <f>ROUND(((EU333*3)),6)</f>
        <v>0</v>
      </c>
      <c r="AF333">
        <f>ROUND(((EV333*3)),6)</f>
        <v>364.92</v>
      </c>
      <c r="AG333">
        <f t="shared" si="270"/>
        <v>0</v>
      </c>
      <c r="AH333">
        <f>((EW333*3))</f>
        <v>0.72</v>
      </c>
      <c r="AI333">
        <f>((EX333*3))</f>
        <v>0</v>
      </c>
      <c r="AJ333">
        <f t="shared" si="271"/>
        <v>0</v>
      </c>
      <c r="AK333">
        <v>121.64</v>
      </c>
      <c r="AL333">
        <v>0</v>
      </c>
      <c r="AM333">
        <v>0</v>
      </c>
      <c r="AN333">
        <v>0</v>
      </c>
      <c r="AO333">
        <v>121.64</v>
      </c>
      <c r="AP333">
        <v>0</v>
      </c>
      <c r="AQ333">
        <v>0.24</v>
      </c>
      <c r="AR333">
        <v>0</v>
      </c>
      <c r="AS333">
        <v>0</v>
      </c>
      <c r="AT333">
        <v>70</v>
      </c>
      <c r="AU333">
        <v>10</v>
      </c>
      <c r="AV333">
        <v>1</v>
      </c>
      <c r="AW333">
        <v>1</v>
      </c>
      <c r="AZ333">
        <v>1</v>
      </c>
      <c r="BA333">
        <v>1</v>
      </c>
      <c r="BB333">
        <v>1</v>
      </c>
      <c r="BC333">
        <v>1</v>
      </c>
      <c r="BD333" t="s">
        <v>3</v>
      </c>
      <c r="BE333" t="s">
        <v>3</v>
      </c>
      <c r="BF333" t="s">
        <v>3</v>
      </c>
      <c r="BG333" t="s">
        <v>3</v>
      </c>
      <c r="BH333">
        <v>0</v>
      </c>
      <c r="BI333">
        <v>4</v>
      </c>
      <c r="BJ333" t="s">
        <v>234</v>
      </c>
      <c r="BM333">
        <v>0</v>
      </c>
      <c r="BN333">
        <v>0</v>
      </c>
      <c r="BO333" t="s">
        <v>3</v>
      </c>
      <c r="BP333">
        <v>0</v>
      </c>
      <c r="BQ333">
        <v>1</v>
      </c>
      <c r="BR333">
        <v>0</v>
      </c>
      <c r="BS333">
        <v>1</v>
      </c>
      <c r="BT333">
        <v>1</v>
      </c>
      <c r="BU333">
        <v>1</v>
      </c>
      <c r="BV333">
        <v>1</v>
      </c>
      <c r="BW333">
        <v>1</v>
      </c>
      <c r="BX333">
        <v>1</v>
      </c>
      <c r="BY333" t="s">
        <v>3</v>
      </c>
      <c r="BZ333">
        <v>70</v>
      </c>
      <c r="CA333">
        <v>10</v>
      </c>
      <c r="CB333" t="s">
        <v>3</v>
      </c>
      <c r="CE333">
        <v>0</v>
      </c>
      <c r="CF333">
        <v>0</v>
      </c>
      <c r="CG333">
        <v>0</v>
      </c>
      <c r="CM333">
        <v>0</v>
      </c>
      <c r="CN333" t="s">
        <v>3</v>
      </c>
      <c r="CO333">
        <v>0</v>
      </c>
      <c r="CP333">
        <f t="shared" si="272"/>
        <v>58.39</v>
      </c>
      <c r="CQ333">
        <f t="shared" si="273"/>
        <v>0</v>
      </c>
      <c r="CR333">
        <f>(((((ET333*3))*BB333-((EU333*3))*BS333)+AE333*BS333)*AV333)</f>
        <v>0</v>
      </c>
      <c r="CS333">
        <f t="shared" si="274"/>
        <v>0</v>
      </c>
      <c r="CT333">
        <f t="shared" si="275"/>
        <v>364.92</v>
      </c>
      <c r="CU333">
        <f t="shared" si="276"/>
        <v>0</v>
      </c>
      <c r="CV333">
        <f t="shared" si="277"/>
        <v>0.72</v>
      </c>
      <c r="CW333">
        <f t="shared" si="278"/>
        <v>0</v>
      </c>
      <c r="CX333">
        <f t="shared" si="279"/>
        <v>0</v>
      </c>
      <c r="CY333">
        <f t="shared" si="280"/>
        <v>40.873000000000005</v>
      </c>
      <c r="CZ333">
        <f t="shared" si="281"/>
        <v>5.8389999999999995</v>
      </c>
      <c r="DC333" t="s">
        <v>3</v>
      </c>
      <c r="DD333" t="s">
        <v>156</v>
      </c>
      <c r="DE333" t="s">
        <v>156</v>
      </c>
      <c r="DF333" t="s">
        <v>156</v>
      </c>
      <c r="DG333" t="s">
        <v>156</v>
      </c>
      <c r="DH333" t="s">
        <v>3</v>
      </c>
      <c r="DI333" t="s">
        <v>156</v>
      </c>
      <c r="DJ333" t="s">
        <v>156</v>
      </c>
      <c r="DK333" t="s">
        <v>3</v>
      </c>
      <c r="DL333" t="s">
        <v>3</v>
      </c>
      <c r="DM333" t="s">
        <v>3</v>
      </c>
      <c r="DN333">
        <v>0</v>
      </c>
      <c r="DO333">
        <v>0</v>
      </c>
      <c r="DP333">
        <v>1</v>
      </c>
      <c r="DQ333">
        <v>1</v>
      </c>
      <c r="DU333">
        <v>16987630</v>
      </c>
      <c r="DV333" t="s">
        <v>31</v>
      </c>
      <c r="DW333" t="s">
        <v>31</v>
      </c>
      <c r="DX333">
        <v>100</v>
      </c>
      <c r="DZ333" t="s">
        <v>3</v>
      </c>
      <c r="EA333" t="s">
        <v>3</v>
      </c>
      <c r="EB333" t="s">
        <v>3</v>
      </c>
      <c r="EC333" t="s">
        <v>3</v>
      </c>
      <c r="EE333">
        <v>1441815344</v>
      </c>
      <c r="EF333">
        <v>1</v>
      </c>
      <c r="EG333" t="s">
        <v>21</v>
      </c>
      <c r="EH333">
        <v>0</v>
      </c>
      <c r="EI333" t="s">
        <v>3</v>
      </c>
      <c r="EJ333">
        <v>4</v>
      </c>
      <c r="EK333">
        <v>0</v>
      </c>
      <c r="EL333" t="s">
        <v>22</v>
      </c>
      <c r="EM333" t="s">
        <v>23</v>
      </c>
      <c r="EO333" t="s">
        <v>3</v>
      </c>
      <c r="EQ333">
        <v>1024</v>
      </c>
      <c r="ER333">
        <v>121.64</v>
      </c>
      <c r="ES333">
        <v>0</v>
      </c>
      <c r="ET333">
        <v>0</v>
      </c>
      <c r="EU333">
        <v>0</v>
      </c>
      <c r="EV333">
        <v>121.64</v>
      </c>
      <c r="EW333">
        <v>0.24</v>
      </c>
      <c r="EX333">
        <v>0</v>
      </c>
      <c r="EY333">
        <v>0</v>
      </c>
      <c r="FQ333">
        <v>0</v>
      </c>
      <c r="FR333">
        <f t="shared" si="282"/>
        <v>0</v>
      </c>
      <c r="FS333">
        <v>0</v>
      </c>
      <c r="FX333">
        <v>70</v>
      </c>
      <c r="FY333">
        <v>10</v>
      </c>
      <c r="GA333" t="s">
        <v>3</v>
      </c>
      <c r="GD333">
        <v>0</v>
      </c>
      <c r="GF333">
        <v>1019270866</v>
      </c>
      <c r="GG333">
        <v>2</v>
      </c>
      <c r="GH333">
        <v>1</v>
      </c>
      <c r="GI333">
        <v>-2</v>
      </c>
      <c r="GJ333">
        <v>0</v>
      </c>
      <c r="GK333">
        <f>ROUND(R333*(R12)/100,2)</f>
        <v>0</v>
      </c>
      <c r="GL333">
        <f t="shared" si="283"/>
        <v>0</v>
      </c>
      <c r="GM333">
        <f t="shared" si="284"/>
        <v>105.1</v>
      </c>
      <c r="GN333">
        <f t="shared" si="285"/>
        <v>0</v>
      </c>
      <c r="GO333">
        <f t="shared" si="286"/>
        <v>0</v>
      </c>
      <c r="GP333">
        <f t="shared" si="287"/>
        <v>105.1</v>
      </c>
      <c r="GR333">
        <v>0</v>
      </c>
      <c r="GS333">
        <v>3</v>
      </c>
      <c r="GT333">
        <v>0</v>
      </c>
      <c r="GU333" t="s">
        <v>3</v>
      </c>
      <c r="GV333">
        <f t="shared" si="288"/>
        <v>0</v>
      </c>
      <c r="GW333">
        <v>1</v>
      </c>
      <c r="GX333">
        <f t="shared" si="289"/>
        <v>0</v>
      </c>
      <c r="HA333">
        <v>0</v>
      </c>
      <c r="HB333">
        <v>0</v>
      </c>
      <c r="HC333">
        <f t="shared" si="290"/>
        <v>0</v>
      </c>
      <c r="HE333" t="s">
        <v>3</v>
      </c>
      <c r="HF333" t="s">
        <v>3</v>
      </c>
      <c r="HM333" t="s">
        <v>3</v>
      </c>
      <c r="HN333" t="s">
        <v>3</v>
      </c>
      <c r="HO333" t="s">
        <v>3</v>
      </c>
      <c r="HP333" t="s">
        <v>3</v>
      </c>
      <c r="HQ333" t="s">
        <v>3</v>
      </c>
      <c r="IK333">
        <v>0</v>
      </c>
    </row>
    <row r="334" spans="1:245" x14ac:dyDescent="0.2">
      <c r="A334">
        <v>17</v>
      </c>
      <c r="B334">
        <v>1</v>
      </c>
      <c r="D334">
        <f>ROW(EtalonRes!A212)</f>
        <v>212</v>
      </c>
      <c r="E334" t="s">
        <v>276</v>
      </c>
      <c r="F334" t="s">
        <v>236</v>
      </c>
      <c r="G334" t="s">
        <v>237</v>
      </c>
      <c r="H334" t="s">
        <v>60</v>
      </c>
      <c r="I334">
        <f>ROUND(ROUND((25*4)*0.2*0.1/100,9),9)</f>
        <v>0.02</v>
      </c>
      <c r="J334">
        <v>0</v>
      </c>
      <c r="K334">
        <f>ROUND(ROUND((25*4)*0.2*0.1/100,9),9)</f>
        <v>0.02</v>
      </c>
      <c r="O334">
        <f t="shared" si="258"/>
        <v>107.51</v>
      </c>
      <c r="P334">
        <f t="shared" si="259"/>
        <v>0.45</v>
      </c>
      <c r="Q334">
        <f t="shared" si="260"/>
        <v>0</v>
      </c>
      <c r="R334">
        <f t="shared" si="261"/>
        <v>0</v>
      </c>
      <c r="S334">
        <f t="shared" si="262"/>
        <v>107.06</v>
      </c>
      <c r="T334">
        <f t="shared" si="263"/>
        <v>0</v>
      </c>
      <c r="U334">
        <f t="shared" si="264"/>
        <v>0.2</v>
      </c>
      <c r="V334">
        <f t="shared" si="265"/>
        <v>0</v>
      </c>
      <c r="W334">
        <f t="shared" si="266"/>
        <v>0</v>
      </c>
      <c r="X334">
        <f t="shared" si="267"/>
        <v>74.94</v>
      </c>
      <c r="Y334">
        <f t="shared" si="268"/>
        <v>10.71</v>
      </c>
      <c r="AA334">
        <v>1471531721</v>
      </c>
      <c r="AB334">
        <f t="shared" si="269"/>
        <v>5375.66</v>
      </c>
      <c r="AC334">
        <f>ROUND((ES334),6)</f>
        <v>22.51</v>
      </c>
      <c r="AD334">
        <f>ROUND((((ET334)-(EU334))+AE334),6)</f>
        <v>0</v>
      </c>
      <c r="AE334">
        <f t="shared" ref="AE334:AF337" si="291">ROUND((EU334),6)</f>
        <v>0</v>
      </c>
      <c r="AF334">
        <f t="shared" si="291"/>
        <v>5353.15</v>
      </c>
      <c r="AG334">
        <f t="shared" si="270"/>
        <v>0</v>
      </c>
      <c r="AH334">
        <f t="shared" ref="AH334:AI337" si="292">(EW334)</f>
        <v>10</v>
      </c>
      <c r="AI334">
        <f t="shared" si="292"/>
        <v>0</v>
      </c>
      <c r="AJ334">
        <f t="shared" si="271"/>
        <v>0</v>
      </c>
      <c r="AK334">
        <v>5375.66</v>
      </c>
      <c r="AL334">
        <v>22.51</v>
      </c>
      <c r="AM334">
        <v>0</v>
      </c>
      <c r="AN334">
        <v>0</v>
      </c>
      <c r="AO334">
        <v>5353.15</v>
      </c>
      <c r="AP334">
        <v>0</v>
      </c>
      <c r="AQ334">
        <v>10</v>
      </c>
      <c r="AR334">
        <v>0</v>
      </c>
      <c r="AS334">
        <v>0</v>
      </c>
      <c r="AT334">
        <v>70</v>
      </c>
      <c r="AU334">
        <v>10</v>
      </c>
      <c r="AV334">
        <v>1</v>
      </c>
      <c r="AW334">
        <v>1</v>
      </c>
      <c r="AZ334">
        <v>1</v>
      </c>
      <c r="BA334">
        <v>1</v>
      </c>
      <c r="BB334">
        <v>1</v>
      </c>
      <c r="BC334">
        <v>1</v>
      </c>
      <c r="BD334" t="s">
        <v>3</v>
      </c>
      <c r="BE334" t="s">
        <v>3</v>
      </c>
      <c r="BF334" t="s">
        <v>3</v>
      </c>
      <c r="BG334" t="s">
        <v>3</v>
      </c>
      <c r="BH334">
        <v>0</v>
      </c>
      <c r="BI334">
        <v>4</v>
      </c>
      <c r="BJ334" t="s">
        <v>238</v>
      </c>
      <c r="BM334">
        <v>0</v>
      </c>
      <c r="BN334">
        <v>0</v>
      </c>
      <c r="BO334" t="s">
        <v>3</v>
      </c>
      <c r="BP334">
        <v>0</v>
      </c>
      <c r="BQ334">
        <v>1</v>
      </c>
      <c r="BR334">
        <v>0</v>
      </c>
      <c r="BS334">
        <v>1</v>
      </c>
      <c r="BT334">
        <v>1</v>
      </c>
      <c r="BU334">
        <v>1</v>
      </c>
      <c r="BV334">
        <v>1</v>
      </c>
      <c r="BW334">
        <v>1</v>
      </c>
      <c r="BX334">
        <v>1</v>
      </c>
      <c r="BY334" t="s">
        <v>3</v>
      </c>
      <c r="BZ334">
        <v>70</v>
      </c>
      <c r="CA334">
        <v>10</v>
      </c>
      <c r="CB334" t="s">
        <v>3</v>
      </c>
      <c r="CE334">
        <v>0</v>
      </c>
      <c r="CF334">
        <v>0</v>
      </c>
      <c r="CG334">
        <v>0</v>
      </c>
      <c r="CM334">
        <v>0</v>
      </c>
      <c r="CN334" t="s">
        <v>3</v>
      </c>
      <c r="CO334">
        <v>0</v>
      </c>
      <c r="CP334">
        <f t="shared" si="272"/>
        <v>107.51</v>
      </c>
      <c r="CQ334">
        <f t="shared" si="273"/>
        <v>22.51</v>
      </c>
      <c r="CR334">
        <f>((((ET334)*BB334-(EU334)*BS334)+AE334*BS334)*AV334)</f>
        <v>0</v>
      </c>
      <c r="CS334">
        <f t="shared" si="274"/>
        <v>0</v>
      </c>
      <c r="CT334">
        <f t="shared" si="275"/>
        <v>5353.15</v>
      </c>
      <c r="CU334">
        <f t="shared" si="276"/>
        <v>0</v>
      </c>
      <c r="CV334">
        <f t="shared" si="277"/>
        <v>10</v>
      </c>
      <c r="CW334">
        <f t="shared" si="278"/>
        <v>0</v>
      </c>
      <c r="CX334">
        <f t="shared" si="279"/>
        <v>0</v>
      </c>
      <c r="CY334">
        <f t="shared" si="280"/>
        <v>74.941999999999993</v>
      </c>
      <c r="CZ334">
        <f t="shared" si="281"/>
        <v>10.706</v>
      </c>
      <c r="DC334" t="s">
        <v>3</v>
      </c>
      <c r="DD334" t="s">
        <v>3</v>
      </c>
      <c r="DE334" t="s">
        <v>3</v>
      </c>
      <c r="DF334" t="s">
        <v>3</v>
      </c>
      <c r="DG334" t="s">
        <v>3</v>
      </c>
      <c r="DH334" t="s">
        <v>3</v>
      </c>
      <c r="DI334" t="s">
        <v>3</v>
      </c>
      <c r="DJ334" t="s">
        <v>3</v>
      </c>
      <c r="DK334" t="s">
        <v>3</v>
      </c>
      <c r="DL334" t="s">
        <v>3</v>
      </c>
      <c r="DM334" t="s">
        <v>3</v>
      </c>
      <c r="DN334">
        <v>0</v>
      </c>
      <c r="DO334">
        <v>0</v>
      </c>
      <c r="DP334">
        <v>1</v>
      </c>
      <c r="DQ334">
        <v>1</v>
      </c>
      <c r="DU334">
        <v>1003</v>
      </c>
      <c r="DV334" t="s">
        <v>60</v>
      </c>
      <c r="DW334" t="s">
        <v>60</v>
      </c>
      <c r="DX334">
        <v>100</v>
      </c>
      <c r="DZ334" t="s">
        <v>3</v>
      </c>
      <c r="EA334" t="s">
        <v>3</v>
      </c>
      <c r="EB334" t="s">
        <v>3</v>
      </c>
      <c r="EC334" t="s">
        <v>3</v>
      </c>
      <c r="EE334">
        <v>1441815344</v>
      </c>
      <c r="EF334">
        <v>1</v>
      </c>
      <c r="EG334" t="s">
        <v>21</v>
      </c>
      <c r="EH334">
        <v>0</v>
      </c>
      <c r="EI334" t="s">
        <v>3</v>
      </c>
      <c r="EJ334">
        <v>4</v>
      </c>
      <c r="EK334">
        <v>0</v>
      </c>
      <c r="EL334" t="s">
        <v>22</v>
      </c>
      <c r="EM334" t="s">
        <v>23</v>
      </c>
      <c r="EO334" t="s">
        <v>3</v>
      </c>
      <c r="EQ334">
        <v>0</v>
      </c>
      <c r="ER334">
        <v>5375.66</v>
      </c>
      <c r="ES334">
        <v>22.51</v>
      </c>
      <c r="ET334">
        <v>0</v>
      </c>
      <c r="EU334">
        <v>0</v>
      </c>
      <c r="EV334">
        <v>5353.15</v>
      </c>
      <c r="EW334">
        <v>10</v>
      </c>
      <c r="EX334">
        <v>0</v>
      </c>
      <c r="EY334">
        <v>0</v>
      </c>
      <c r="FQ334">
        <v>0</v>
      </c>
      <c r="FR334">
        <f t="shared" si="282"/>
        <v>0</v>
      </c>
      <c r="FS334">
        <v>0</v>
      </c>
      <c r="FX334">
        <v>70</v>
      </c>
      <c r="FY334">
        <v>10</v>
      </c>
      <c r="GA334" t="s">
        <v>3</v>
      </c>
      <c r="GD334">
        <v>0</v>
      </c>
      <c r="GF334">
        <v>29112068</v>
      </c>
      <c r="GG334">
        <v>2</v>
      </c>
      <c r="GH334">
        <v>1</v>
      </c>
      <c r="GI334">
        <v>-2</v>
      </c>
      <c r="GJ334">
        <v>0</v>
      </c>
      <c r="GK334">
        <f>ROUND(R334*(R12)/100,2)</f>
        <v>0</v>
      </c>
      <c r="GL334">
        <f t="shared" si="283"/>
        <v>0</v>
      </c>
      <c r="GM334">
        <f t="shared" si="284"/>
        <v>193.16</v>
      </c>
      <c r="GN334">
        <f t="shared" si="285"/>
        <v>0</v>
      </c>
      <c r="GO334">
        <f t="shared" si="286"/>
        <v>0</v>
      </c>
      <c r="GP334">
        <f t="shared" si="287"/>
        <v>193.16</v>
      </c>
      <c r="GR334">
        <v>0</v>
      </c>
      <c r="GS334">
        <v>3</v>
      </c>
      <c r="GT334">
        <v>0</v>
      </c>
      <c r="GU334" t="s">
        <v>3</v>
      </c>
      <c r="GV334">
        <f t="shared" si="288"/>
        <v>0</v>
      </c>
      <c r="GW334">
        <v>1</v>
      </c>
      <c r="GX334">
        <f t="shared" si="289"/>
        <v>0</v>
      </c>
      <c r="HA334">
        <v>0</v>
      </c>
      <c r="HB334">
        <v>0</v>
      </c>
      <c r="HC334">
        <f t="shared" si="290"/>
        <v>0</v>
      </c>
      <c r="HE334" t="s">
        <v>3</v>
      </c>
      <c r="HF334" t="s">
        <v>3</v>
      </c>
      <c r="HM334" t="s">
        <v>3</v>
      </c>
      <c r="HN334" t="s">
        <v>3</v>
      </c>
      <c r="HO334" t="s">
        <v>3</v>
      </c>
      <c r="HP334" t="s">
        <v>3</v>
      </c>
      <c r="HQ334" t="s">
        <v>3</v>
      </c>
      <c r="IK334">
        <v>0</v>
      </c>
    </row>
    <row r="335" spans="1:245" x14ac:dyDescent="0.2">
      <c r="A335">
        <v>17</v>
      </c>
      <c r="B335">
        <v>1</v>
      </c>
      <c r="D335">
        <f>ROW(EtalonRes!A213)</f>
        <v>213</v>
      </c>
      <c r="E335" t="s">
        <v>3</v>
      </c>
      <c r="F335" t="s">
        <v>239</v>
      </c>
      <c r="G335" t="s">
        <v>240</v>
      </c>
      <c r="H335" t="s">
        <v>60</v>
      </c>
      <c r="I335">
        <f>ROUND(25*4*0.1/100,9)</f>
        <v>0.1</v>
      </c>
      <c r="J335">
        <v>0</v>
      </c>
      <c r="K335">
        <f>ROUND(25*4*0.1/100,9)</f>
        <v>0.1</v>
      </c>
      <c r="O335">
        <f t="shared" si="258"/>
        <v>17.670000000000002</v>
      </c>
      <c r="P335">
        <f t="shared" si="259"/>
        <v>0</v>
      </c>
      <c r="Q335">
        <f t="shared" si="260"/>
        <v>0</v>
      </c>
      <c r="R335">
        <f t="shared" si="261"/>
        <v>0</v>
      </c>
      <c r="S335">
        <f t="shared" si="262"/>
        <v>17.670000000000002</v>
      </c>
      <c r="T335">
        <f t="shared" si="263"/>
        <v>0</v>
      </c>
      <c r="U335">
        <f t="shared" si="264"/>
        <v>3.3000000000000002E-2</v>
      </c>
      <c r="V335">
        <f t="shared" si="265"/>
        <v>0</v>
      </c>
      <c r="W335">
        <f t="shared" si="266"/>
        <v>0</v>
      </c>
      <c r="X335">
        <f t="shared" si="267"/>
        <v>12.37</v>
      </c>
      <c r="Y335">
        <f t="shared" si="268"/>
        <v>1.77</v>
      </c>
      <c r="AA335">
        <v>-1</v>
      </c>
      <c r="AB335">
        <f t="shared" si="269"/>
        <v>176.66</v>
      </c>
      <c r="AC335">
        <f>ROUND((ES335),6)</f>
        <v>0</v>
      </c>
      <c r="AD335">
        <f>ROUND((((ET335)-(EU335))+AE335),6)</f>
        <v>0</v>
      </c>
      <c r="AE335">
        <f t="shared" si="291"/>
        <v>0</v>
      </c>
      <c r="AF335">
        <f t="shared" si="291"/>
        <v>176.66</v>
      </c>
      <c r="AG335">
        <f t="shared" si="270"/>
        <v>0</v>
      </c>
      <c r="AH335">
        <f t="shared" si="292"/>
        <v>0.33</v>
      </c>
      <c r="AI335">
        <f t="shared" si="292"/>
        <v>0</v>
      </c>
      <c r="AJ335">
        <f t="shared" si="271"/>
        <v>0</v>
      </c>
      <c r="AK335">
        <v>176.66</v>
      </c>
      <c r="AL335">
        <v>0</v>
      </c>
      <c r="AM335">
        <v>0</v>
      </c>
      <c r="AN335">
        <v>0</v>
      </c>
      <c r="AO335">
        <v>176.66</v>
      </c>
      <c r="AP335">
        <v>0</v>
      </c>
      <c r="AQ335">
        <v>0.33</v>
      </c>
      <c r="AR335">
        <v>0</v>
      </c>
      <c r="AS335">
        <v>0</v>
      </c>
      <c r="AT335">
        <v>70</v>
      </c>
      <c r="AU335">
        <v>10</v>
      </c>
      <c r="AV335">
        <v>1</v>
      </c>
      <c r="AW335">
        <v>1</v>
      </c>
      <c r="AZ335">
        <v>1</v>
      </c>
      <c r="BA335">
        <v>1</v>
      </c>
      <c r="BB335">
        <v>1</v>
      </c>
      <c r="BC335">
        <v>1</v>
      </c>
      <c r="BD335" t="s">
        <v>3</v>
      </c>
      <c r="BE335" t="s">
        <v>3</v>
      </c>
      <c r="BF335" t="s">
        <v>3</v>
      </c>
      <c r="BG335" t="s">
        <v>3</v>
      </c>
      <c r="BH335">
        <v>0</v>
      </c>
      <c r="BI335">
        <v>4</v>
      </c>
      <c r="BJ335" t="s">
        <v>241</v>
      </c>
      <c r="BM335">
        <v>0</v>
      </c>
      <c r="BN335">
        <v>0</v>
      </c>
      <c r="BO335" t="s">
        <v>3</v>
      </c>
      <c r="BP335">
        <v>0</v>
      </c>
      <c r="BQ335">
        <v>1</v>
      </c>
      <c r="BR335">
        <v>0</v>
      </c>
      <c r="BS335">
        <v>1</v>
      </c>
      <c r="BT335">
        <v>1</v>
      </c>
      <c r="BU335">
        <v>1</v>
      </c>
      <c r="BV335">
        <v>1</v>
      </c>
      <c r="BW335">
        <v>1</v>
      </c>
      <c r="BX335">
        <v>1</v>
      </c>
      <c r="BY335" t="s">
        <v>3</v>
      </c>
      <c r="BZ335">
        <v>70</v>
      </c>
      <c r="CA335">
        <v>10</v>
      </c>
      <c r="CB335" t="s">
        <v>3</v>
      </c>
      <c r="CE335">
        <v>0</v>
      </c>
      <c r="CF335">
        <v>0</v>
      </c>
      <c r="CG335">
        <v>0</v>
      </c>
      <c r="CM335">
        <v>0</v>
      </c>
      <c r="CN335" t="s">
        <v>3</v>
      </c>
      <c r="CO335">
        <v>0</v>
      </c>
      <c r="CP335">
        <f t="shared" si="272"/>
        <v>17.670000000000002</v>
      </c>
      <c r="CQ335">
        <f t="shared" si="273"/>
        <v>0</v>
      </c>
      <c r="CR335">
        <f>((((ET335)*BB335-(EU335)*BS335)+AE335*BS335)*AV335)</f>
        <v>0</v>
      </c>
      <c r="CS335">
        <f t="shared" si="274"/>
        <v>0</v>
      </c>
      <c r="CT335">
        <f t="shared" si="275"/>
        <v>176.66</v>
      </c>
      <c r="CU335">
        <f t="shared" si="276"/>
        <v>0</v>
      </c>
      <c r="CV335">
        <f t="shared" si="277"/>
        <v>0.33</v>
      </c>
      <c r="CW335">
        <f t="shared" si="278"/>
        <v>0</v>
      </c>
      <c r="CX335">
        <f t="shared" si="279"/>
        <v>0</v>
      </c>
      <c r="CY335">
        <f t="shared" si="280"/>
        <v>12.369000000000002</v>
      </c>
      <c r="CZ335">
        <f t="shared" si="281"/>
        <v>1.7670000000000001</v>
      </c>
      <c r="DC335" t="s">
        <v>3</v>
      </c>
      <c r="DD335" t="s">
        <v>3</v>
      </c>
      <c r="DE335" t="s">
        <v>3</v>
      </c>
      <c r="DF335" t="s">
        <v>3</v>
      </c>
      <c r="DG335" t="s">
        <v>3</v>
      </c>
      <c r="DH335" t="s">
        <v>3</v>
      </c>
      <c r="DI335" t="s">
        <v>3</v>
      </c>
      <c r="DJ335" t="s">
        <v>3</v>
      </c>
      <c r="DK335" t="s">
        <v>3</v>
      </c>
      <c r="DL335" t="s">
        <v>3</v>
      </c>
      <c r="DM335" t="s">
        <v>3</v>
      </c>
      <c r="DN335">
        <v>0</v>
      </c>
      <c r="DO335">
        <v>0</v>
      </c>
      <c r="DP335">
        <v>1</v>
      </c>
      <c r="DQ335">
        <v>1</v>
      </c>
      <c r="DU335">
        <v>1003</v>
      </c>
      <c r="DV335" t="s">
        <v>60</v>
      </c>
      <c r="DW335" t="s">
        <v>60</v>
      </c>
      <c r="DX335">
        <v>100</v>
      </c>
      <c r="DZ335" t="s">
        <v>3</v>
      </c>
      <c r="EA335" t="s">
        <v>3</v>
      </c>
      <c r="EB335" t="s">
        <v>3</v>
      </c>
      <c r="EC335" t="s">
        <v>3</v>
      </c>
      <c r="EE335">
        <v>1441815344</v>
      </c>
      <c r="EF335">
        <v>1</v>
      </c>
      <c r="EG335" t="s">
        <v>21</v>
      </c>
      <c r="EH335">
        <v>0</v>
      </c>
      <c r="EI335" t="s">
        <v>3</v>
      </c>
      <c r="EJ335">
        <v>4</v>
      </c>
      <c r="EK335">
        <v>0</v>
      </c>
      <c r="EL335" t="s">
        <v>22</v>
      </c>
      <c r="EM335" t="s">
        <v>23</v>
      </c>
      <c r="EO335" t="s">
        <v>3</v>
      </c>
      <c r="EQ335">
        <v>1024</v>
      </c>
      <c r="ER335">
        <v>176.66</v>
      </c>
      <c r="ES335">
        <v>0</v>
      </c>
      <c r="ET335">
        <v>0</v>
      </c>
      <c r="EU335">
        <v>0</v>
      </c>
      <c r="EV335">
        <v>176.66</v>
      </c>
      <c r="EW335">
        <v>0.33</v>
      </c>
      <c r="EX335">
        <v>0</v>
      </c>
      <c r="EY335">
        <v>0</v>
      </c>
      <c r="FQ335">
        <v>0</v>
      </c>
      <c r="FR335">
        <f t="shared" si="282"/>
        <v>0</v>
      </c>
      <c r="FS335">
        <v>0</v>
      </c>
      <c r="FX335">
        <v>70</v>
      </c>
      <c r="FY335">
        <v>10</v>
      </c>
      <c r="GA335" t="s">
        <v>3</v>
      </c>
      <c r="GD335">
        <v>0</v>
      </c>
      <c r="GF335">
        <v>-21109996</v>
      </c>
      <c r="GG335">
        <v>2</v>
      </c>
      <c r="GH335">
        <v>1</v>
      </c>
      <c r="GI335">
        <v>-2</v>
      </c>
      <c r="GJ335">
        <v>0</v>
      </c>
      <c r="GK335">
        <f>ROUND(R335*(R12)/100,2)</f>
        <v>0</v>
      </c>
      <c r="GL335">
        <f t="shared" si="283"/>
        <v>0</v>
      </c>
      <c r="GM335">
        <f t="shared" si="284"/>
        <v>31.81</v>
      </c>
      <c r="GN335">
        <f t="shared" si="285"/>
        <v>0</v>
      </c>
      <c r="GO335">
        <f t="shared" si="286"/>
        <v>0</v>
      </c>
      <c r="GP335">
        <f t="shared" si="287"/>
        <v>31.81</v>
      </c>
      <c r="GR335">
        <v>0</v>
      </c>
      <c r="GS335">
        <v>3</v>
      </c>
      <c r="GT335">
        <v>0</v>
      </c>
      <c r="GU335" t="s">
        <v>3</v>
      </c>
      <c r="GV335">
        <f t="shared" si="288"/>
        <v>0</v>
      </c>
      <c r="GW335">
        <v>1</v>
      </c>
      <c r="GX335">
        <f t="shared" si="289"/>
        <v>0</v>
      </c>
      <c r="HA335">
        <v>0</v>
      </c>
      <c r="HB335">
        <v>0</v>
      </c>
      <c r="HC335">
        <f t="shared" si="290"/>
        <v>0</v>
      </c>
      <c r="HE335" t="s">
        <v>3</v>
      </c>
      <c r="HF335" t="s">
        <v>3</v>
      </c>
      <c r="HM335" t="s">
        <v>3</v>
      </c>
      <c r="HN335" t="s">
        <v>3</v>
      </c>
      <c r="HO335" t="s">
        <v>3</v>
      </c>
      <c r="HP335" t="s">
        <v>3</v>
      </c>
      <c r="HQ335" t="s">
        <v>3</v>
      </c>
      <c r="IK335">
        <v>0</v>
      </c>
    </row>
    <row r="336" spans="1:245" x14ac:dyDescent="0.2">
      <c r="A336">
        <v>17</v>
      </c>
      <c r="B336">
        <v>1</v>
      </c>
      <c r="D336">
        <f>ROW(EtalonRes!A215)</f>
        <v>215</v>
      </c>
      <c r="E336" t="s">
        <v>277</v>
      </c>
      <c r="F336" t="s">
        <v>236</v>
      </c>
      <c r="G336" t="s">
        <v>243</v>
      </c>
      <c r="H336" t="s">
        <v>60</v>
      </c>
      <c r="I336">
        <f>ROUND(ROUND((35*4)*0.2*0.1/100,9),9)</f>
        <v>2.8000000000000001E-2</v>
      </c>
      <c r="J336">
        <v>0</v>
      </c>
      <c r="K336">
        <f>ROUND(ROUND((35*4)*0.2*0.1/100,9),9)</f>
        <v>2.8000000000000001E-2</v>
      </c>
      <c r="O336">
        <f t="shared" si="258"/>
        <v>150.52000000000001</v>
      </c>
      <c r="P336">
        <f t="shared" si="259"/>
        <v>0.63</v>
      </c>
      <c r="Q336">
        <f t="shared" si="260"/>
        <v>0</v>
      </c>
      <c r="R336">
        <f t="shared" si="261"/>
        <v>0</v>
      </c>
      <c r="S336">
        <f t="shared" si="262"/>
        <v>149.88999999999999</v>
      </c>
      <c r="T336">
        <f t="shared" si="263"/>
        <v>0</v>
      </c>
      <c r="U336">
        <f t="shared" si="264"/>
        <v>0.28000000000000003</v>
      </c>
      <c r="V336">
        <f t="shared" si="265"/>
        <v>0</v>
      </c>
      <c r="W336">
        <f t="shared" si="266"/>
        <v>0</v>
      </c>
      <c r="X336">
        <f t="shared" si="267"/>
        <v>104.92</v>
      </c>
      <c r="Y336">
        <f t="shared" si="268"/>
        <v>14.99</v>
      </c>
      <c r="AA336">
        <v>1471531721</v>
      </c>
      <c r="AB336">
        <f t="shared" si="269"/>
        <v>5375.66</v>
      </c>
      <c r="AC336">
        <f>ROUND((ES336),6)</f>
        <v>22.51</v>
      </c>
      <c r="AD336">
        <f>ROUND((((ET336)-(EU336))+AE336),6)</f>
        <v>0</v>
      </c>
      <c r="AE336">
        <f t="shared" si="291"/>
        <v>0</v>
      </c>
      <c r="AF336">
        <f t="shared" si="291"/>
        <v>5353.15</v>
      </c>
      <c r="AG336">
        <f t="shared" si="270"/>
        <v>0</v>
      </c>
      <c r="AH336">
        <f t="shared" si="292"/>
        <v>10</v>
      </c>
      <c r="AI336">
        <f t="shared" si="292"/>
        <v>0</v>
      </c>
      <c r="AJ336">
        <f t="shared" si="271"/>
        <v>0</v>
      </c>
      <c r="AK336">
        <v>5375.66</v>
      </c>
      <c r="AL336">
        <v>22.51</v>
      </c>
      <c r="AM336">
        <v>0</v>
      </c>
      <c r="AN336">
        <v>0</v>
      </c>
      <c r="AO336">
        <v>5353.15</v>
      </c>
      <c r="AP336">
        <v>0</v>
      </c>
      <c r="AQ336">
        <v>10</v>
      </c>
      <c r="AR336">
        <v>0</v>
      </c>
      <c r="AS336">
        <v>0</v>
      </c>
      <c r="AT336">
        <v>70</v>
      </c>
      <c r="AU336">
        <v>10</v>
      </c>
      <c r="AV336">
        <v>1</v>
      </c>
      <c r="AW336">
        <v>1</v>
      </c>
      <c r="AZ336">
        <v>1</v>
      </c>
      <c r="BA336">
        <v>1</v>
      </c>
      <c r="BB336">
        <v>1</v>
      </c>
      <c r="BC336">
        <v>1</v>
      </c>
      <c r="BD336" t="s">
        <v>3</v>
      </c>
      <c r="BE336" t="s">
        <v>3</v>
      </c>
      <c r="BF336" t="s">
        <v>3</v>
      </c>
      <c r="BG336" t="s">
        <v>3</v>
      </c>
      <c r="BH336">
        <v>0</v>
      </c>
      <c r="BI336">
        <v>4</v>
      </c>
      <c r="BJ336" t="s">
        <v>238</v>
      </c>
      <c r="BM336">
        <v>0</v>
      </c>
      <c r="BN336">
        <v>0</v>
      </c>
      <c r="BO336" t="s">
        <v>3</v>
      </c>
      <c r="BP336">
        <v>0</v>
      </c>
      <c r="BQ336">
        <v>1</v>
      </c>
      <c r="BR336">
        <v>0</v>
      </c>
      <c r="BS336">
        <v>1</v>
      </c>
      <c r="BT336">
        <v>1</v>
      </c>
      <c r="BU336">
        <v>1</v>
      </c>
      <c r="BV336">
        <v>1</v>
      </c>
      <c r="BW336">
        <v>1</v>
      </c>
      <c r="BX336">
        <v>1</v>
      </c>
      <c r="BY336" t="s">
        <v>3</v>
      </c>
      <c r="BZ336">
        <v>70</v>
      </c>
      <c r="CA336">
        <v>10</v>
      </c>
      <c r="CB336" t="s">
        <v>3</v>
      </c>
      <c r="CE336">
        <v>0</v>
      </c>
      <c r="CF336">
        <v>0</v>
      </c>
      <c r="CG336">
        <v>0</v>
      </c>
      <c r="CM336">
        <v>0</v>
      </c>
      <c r="CN336" t="s">
        <v>3</v>
      </c>
      <c r="CO336">
        <v>0</v>
      </c>
      <c r="CP336">
        <f t="shared" si="272"/>
        <v>150.51999999999998</v>
      </c>
      <c r="CQ336">
        <f t="shared" si="273"/>
        <v>22.51</v>
      </c>
      <c r="CR336">
        <f>((((ET336)*BB336-(EU336)*BS336)+AE336*BS336)*AV336)</f>
        <v>0</v>
      </c>
      <c r="CS336">
        <f t="shared" si="274"/>
        <v>0</v>
      </c>
      <c r="CT336">
        <f t="shared" si="275"/>
        <v>5353.15</v>
      </c>
      <c r="CU336">
        <f t="shared" si="276"/>
        <v>0</v>
      </c>
      <c r="CV336">
        <f t="shared" si="277"/>
        <v>10</v>
      </c>
      <c r="CW336">
        <f t="shared" si="278"/>
        <v>0</v>
      </c>
      <c r="CX336">
        <f t="shared" si="279"/>
        <v>0</v>
      </c>
      <c r="CY336">
        <f t="shared" si="280"/>
        <v>104.92299999999999</v>
      </c>
      <c r="CZ336">
        <f t="shared" si="281"/>
        <v>14.988999999999999</v>
      </c>
      <c r="DC336" t="s">
        <v>3</v>
      </c>
      <c r="DD336" t="s">
        <v>3</v>
      </c>
      <c r="DE336" t="s">
        <v>3</v>
      </c>
      <c r="DF336" t="s">
        <v>3</v>
      </c>
      <c r="DG336" t="s">
        <v>3</v>
      </c>
      <c r="DH336" t="s">
        <v>3</v>
      </c>
      <c r="DI336" t="s">
        <v>3</v>
      </c>
      <c r="DJ336" t="s">
        <v>3</v>
      </c>
      <c r="DK336" t="s">
        <v>3</v>
      </c>
      <c r="DL336" t="s">
        <v>3</v>
      </c>
      <c r="DM336" t="s">
        <v>3</v>
      </c>
      <c r="DN336">
        <v>0</v>
      </c>
      <c r="DO336">
        <v>0</v>
      </c>
      <c r="DP336">
        <v>1</v>
      </c>
      <c r="DQ336">
        <v>1</v>
      </c>
      <c r="DU336">
        <v>1003</v>
      </c>
      <c r="DV336" t="s">
        <v>60</v>
      </c>
      <c r="DW336" t="s">
        <v>60</v>
      </c>
      <c r="DX336">
        <v>100</v>
      </c>
      <c r="DZ336" t="s">
        <v>3</v>
      </c>
      <c r="EA336" t="s">
        <v>3</v>
      </c>
      <c r="EB336" t="s">
        <v>3</v>
      </c>
      <c r="EC336" t="s">
        <v>3</v>
      </c>
      <c r="EE336">
        <v>1441815344</v>
      </c>
      <c r="EF336">
        <v>1</v>
      </c>
      <c r="EG336" t="s">
        <v>21</v>
      </c>
      <c r="EH336">
        <v>0</v>
      </c>
      <c r="EI336" t="s">
        <v>3</v>
      </c>
      <c r="EJ336">
        <v>4</v>
      </c>
      <c r="EK336">
        <v>0</v>
      </c>
      <c r="EL336" t="s">
        <v>22</v>
      </c>
      <c r="EM336" t="s">
        <v>23</v>
      </c>
      <c r="EO336" t="s">
        <v>3</v>
      </c>
      <c r="EQ336">
        <v>0</v>
      </c>
      <c r="ER336">
        <v>5375.66</v>
      </c>
      <c r="ES336">
        <v>22.51</v>
      </c>
      <c r="ET336">
        <v>0</v>
      </c>
      <c r="EU336">
        <v>0</v>
      </c>
      <c r="EV336">
        <v>5353.15</v>
      </c>
      <c r="EW336">
        <v>10</v>
      </c>
      <c r="EX336">
        <v>0</v>
      </c>
      <c r="EY336">
        <v>0</v>
      </c>
      <c r="FQ336">
        <v>0</v>
      </c>
      <c r="FR336">
        <f t="shared" si="282"/>
        <v>0</v>
      </c>
      <c r="FS336">
        <v>0</v>
      </c>
      <c r="FX336">
        <v>70</v>
      </c>
      <c r="FY336">
        <v>10</v>
      </c>
      <c r="GA336" t="s">
        <v>3</v>
      </c>
      <c r="GD336">
        <v>0</v>
      </c>
      <c r="GF336">
        <v>409781007</v>
      </c>
      <c r="GG336">
        <v>2</v>
      </c>
      <c r="GH336">
        <v>1</v>
      </c>
      <c r="GI336">
        <v>-2</v>
      </c>
      <c r="GJ336">
        <v>0</v>
      </c>
      <c r="GK336">
        <f>ROUND(R336*(R12)/100,2)</f>
        <v>0</v>
      </c>
      <c r="GL336">
        <f t="shared" si="283"/>
        <v>0</v>
      </c>
      <c r="GM336">
        <f t="shared" si="284"/>
        <v>270.43</v>
      </c>
      <c r="GN336">
        <f t="shared" si="285"/>
        <v>0</v>
      </c>
      <c r="GO336">
        <f t="shared" si="286"/>
        <v>0</v>
      </c>
      <c r="GP336">
        <f t="shared" si="287"/>
        <v>270.43</v>
      </c>
      <c r="GR336">
        <v>0</v>
      </c>
      <c r="GS336">
        <v>3</v>
      </c>
      <c r="GT336">
        <v>0</v>
      </c>
      <c r="GU336" t="s">
        <v>3</v>
      </c>
      <c r="GV336">
        <f t="shared" si="288"/>
        <v>0</v>
      </c>
      <c r="GW336">
        <v>1</v>
      </c>
      <c r="GX336">
        <f t="shared" si="289"/>
        <v>0</v>
      </c>
      <c r="HA336">
        <v>0</v>
      </c>
      <c r="HB336">
        <v>0</v>
      </c>
      <c r="HC336">
        <f t="shared" si="290"/>
        <v>0</v>
      </c>
      <c r="HE336" t="s">
        <v>3</v>
      </c>
      <c r="HF336" t="s">
        <v>3</v>
      </c>
      <c r="HM336" t="s">
        <v>3</v>
      </c>
      <c r="HN336" t="s">
        <v>3</v>
      </c>
      <c r="HO336" t="s">
        <v>3</v>
      </c>
      <c r="HP336" t="s">
        <v>3</v>
      </c>
      <c r="HQ336" t="s">
        <v>3</v>
      </c>
      <c r="IK336">
        <v>0</v>
      </c>
    </row>
    <row r="337" spans="1:245" x14ac:dyDescent="0.2">
      <c r="A337">
        <v>17</v>
      </c>
      <c r="B337">
        <v>1</v>
      </c>
      <c r="D337">
        <f>ROW(EtalonRes!A216)</f>
        <v>216</v>
      </c>
      <c r="E337" t="s">
        <v>3</v>
      </c>
      <c r="F337" t="s">
        <v>239</v>
      </c>
      <c r="G337" t="s">
        <v>244</v>
      </c>
      <c r="H337" t="s">
        <v>60</v>
      </c>
      <c r="I337">
        <f>ROUND(35*4*0.1/100,9)</f>
        <v>0.14000000000000001</v>
      </c>
      <c r="J337">
        <v>0</v>
      </c>
      <c r="K337">
        <f>ROUND(35*4*0.1/100,9)</f>
        <v>0.14000000000000001</v>
      </c>
      <c r="O337">
        <f t="shared" si="258"/>
        <v>24.73</v>
      </c>
      <c r="P337">
        <f t="shared" si="259"/>
        <v>0</v>
      </c>
      <c r="Q337">
        <f t="shared" si="260"/>
        <v>0</v>
      </c>
      <c r="R337">
        <f t="shared" si="261"/>
        <v>0</v>
      </c>
      <c r="S337">
        <f t="shared" si="262"/>
        <v>24.73</v>
      </c>
      <c r="T337">
        <f t="shared" si="263"/>
        <v>0</v>
      </c>
      <c r="U337">
        <f t="shared" si="264"/>
        <v>4.6200000000000005E-2</v>
      </c>
      <c r="V337">
        <f t="shared" si="265"/>
        <v>0</v>
      </c>
      <c r="W337">
        <f t="shared" si="266"/>
        <v>0</v>
      </c>
      <c r="X337">
        <f t="shared" si="267"/>
        <v>17.309999999999999</v>
      </c>
      <c r="Y337">
        <f t="shared" si="268"/>
        <v>2.4700000000000002</v>
      </c>
      <c r="AA337">
        <v>-1</v>
      </c>
      <c r="AB337">
        <f t="shared" si="269"/>
        <v>176.66</v>
      </c>
      <c r="AC337">
        <f>ROUND((ES337),6)</f>
        <v>0</v>
      </c>
      <c r="AD337">
        <f>ROUND((((ET337)-(EU337))+AE337),6)</f>
        <v>0</v>
      </c>
      <c r="AE337">
        <f t="shared" si="291"/>
        <v>0</v>
      </c>
      <c r="AF337">
        <f t="shared" si="291"/>
        <v>176.66</v>
      </c>
      <c r="AG337">
        <f t="shared" si="270"/>
        <v>0</v>
      </c>
      <c r="AH337">
        <f t="shared" si="292"/>
        <v>0.33</v>
      </c>
      <c r="AI337">
        <f t="shared" si="292"/>
        <v>0</v>
      </c>
      <c r="AJ337">
        <f t="shared" si="271"/>
        <v>0</v>
      </c>
      <c r="AK337">
        <v>176.66</v>
      </c>
      <c r="AL337">
        <v>0</v>
      </c>
      <c r="AM337">
        <v>0</v>
      </c>
      <c r="AN337">
        <v>0</v>
      </c>
      <c r="AO337">
        <v>176.66</v>
      </c>
      <c r="AP337">
        <v>0</v>
      </c>
      <c r="AQ337">
        <v>0.33</v>
      </c>
      <c r="AR337">
        <v>0</v>
      </c>
      <c r="AS337">
        <v>0</v>
      </c>
      <c r="AT337">
        <v>70</v>
      </c>
      <c r="AU337">
        <v>10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0</v>
      </c>
      <c r="BI337">
        <v>4</v>
      </c>
      <c r="BJ337" t="s">
        <v>241</v>
      </c>
      <c r="BM337">
        <v>0</v>
      </c>
      <c r="BN337">
        <v>0</v>
      </c>
      <c r="BO337" t="s">
        <v>3</v>
      </c>
      <c r="BP337">
        <v>0</v>
      </c>
      <c r="BQ337">
        <v>1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70</v>
      </c>
      <c r="CA337">
        <v>10</v>
      </c>
      <c r="CB337" t="s">
        <v>3</v>
      </c>
      <c r="CE337">
        <v>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 t="shared" si="272"/>
        <v>24.73</v>
      </c>
      <c r="CQ337">
        <f t="shared" si="273"/>
        <v>0</v>
      </c>
      <c r="CR337">
        <f>((((ET337)*BB337-(EU337)*BS337)+AE337*BS337)*AV337)</f>
        <v>0</v>
      </c>
      <c r="CS337">
        <f t="shared" si="274"/>
        <v>0</v>
      </c>
      <c r="CT337">
        <f t="shared" si="275"/>
        <v>176.66</v>
      </c>
      <c r="CU337">
        <f t="shared" si="276"/>
        <v>0</v>
      </c>
      <c r="CV337">
        <f t="shared" si="277"/>
        <v>0.33</v>
      </c>
      <c r="CW337">
        <f t="shared" si="278"/>
        <v>0</v>
      </c>
      <c r="CX337">
        <f t="shared" si="279"/>
        <v>0</v>
      </c>
      <c r="CY337">
        <f t="shared" si="280"/>
        <v>17.311</v>
      </c>
      <c r="CZ337">
        <f t="shared" si="281"/>
        <v>2.4730000000000003</v>
      </c>
      <c r="DC337" t="s">
        <v>3</v>
      </c>
      <c r="DD337" t="s">
        <v>3</v>
      </c>
      <c r="DE337" t="s">
        <v>3</v>
      </c>
      <c r="DF337" t="s">
        <v>3</v>
      </c>
      <c r="DG337" t="s">
        <v>3</v>
      </c>
      <c r="DH337" t="s">
        <v>3</v>
      </c>
      <c r="DI337" t="s">
        <v>3</v>
      </c>
      <c r="DJ337" t="s">
        <v>3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1003</v>
      </c>
      <c r="DV337" t="s">
        <v>60</v>
      </c>
      <c r="DW337" t="s">
        <v>60</v>
      </c>
      <c r="DX337">
        <v>100</v>
      </c>
      <c r="DZ337" t="s">
        <v>3</v>
      </c>
      <c r="EA337" t="s">
        <v>3</v>
      </c>
      <c r="EB337" t="s">
        <v>3</v>
      </c>
      <c r="EC337" t="s">
        <v>3</v>
      </c>
      <c r="EE337">
        <v>1441815344</v>
      </c>
      <c r="EF337">
        <v>1</v>
      </c>
      <c r="EG337" t="s">
        <v>21</v>
      </c>
      <c r="EH337">
        <v>0</v>
      </c>
      <c r="EI337" t="s">
        <v>3</v>
      </c>
      <c r="EJ337">
        <v>4</v>
      </c>
      <c r="EK337">
        <v>0</v>
      </c>
      <c r="EL337" t="s">
        <v>22</v>
      </c>
      <c r="EM337" t="s">
        <v>23</v>
      </c>
      <c r="EO337" t="s">
        <v>3</v>
      </c>
      <c r="EQ337">
        <v>1024</v>
      </c>
      <c r="ER337">
        <v>176.66</v>
      </c>
      <c r="ES337">
        <v>0</v>
      </c>
      <c r="ET337">
        <v>0</v>
      </c>
      <c r="EU337">
        <v>0</v>
      </c>
      <c r="EV337">
        <v>176.66</v>
      </c>
      <c r="EW337">
        <v>0.33</v>
      </c>
      <c r="EX337">
        <v>0</v>
      </c>
      <c r="EY337">
        <v>0</v>
      </c>
      <c r="FQ337">
        <v>0</v>
      </c>
      <c r="FR337">
        <f t="shared" si="282"/>
        <v>0</v>
      </c>
      <c r="FS337">
        <v>0</v>
      </c>
      <c r="FX337">
        <v>70</v>
      </c>
      <c r="FY337">
        <v>10</v>
      </c>
      <c r="GA337" t="s">
        <v>3</v>
      </c>
      <c r="GD337">
        <v>0</v>
      </c>
      <c r="GF337">
        <v>-89122687</v>
      </c>
      <c r="GG337">
        <v>2</v>
      </c>
      <c r="GH337">
        <v>1</v>
      </c>
      <c r="GI337">
        <v>-2</v>
      </c>
      <c r="GJ337">
        <v>0</v>
      </c>
      <c r="GK337">
        <f>ROUND(R337*(R12)/100,2)</f>
        <v>0</v>
      </c>
      <c r="GL337">
        <f t="shared" si="283"/>
        <v>0</v>
      </c>
      <c r="GM337">
        <f t="shared" si="284"/>
        <v>44.51</v>
      </c>
      <c r="GN337">
        <f t="shared" si="285"/>
        <v>0</v>
      </c>
      <c r="GO337">
        <f t="shared" si="286"/>
        <v>0</v>
      </c>
      <c r="GP337">
        <f t="shared" si="287"/>
        <v>44.51</v>
      </c>
      <c r="GR337">
        <v>0</v>
      </c>
      <c r="GS337">
        <v>3</v>
      </c>
      <c r="GT337">
        <v>0</v>
      </c>
      <c r="GU337" t="s">
        <v>3</v>
      </c>
      <c r="GV337">
        <f t="shared" si="288"/>
        <v>0</v>
      </c>
      <c r="GW337">
        <v>1</v>
      </c>
      <c r="GX337">
        <f t="shared" si="289"/>
        <v>0</v>
      </c>
      <c r="HA337">
        <v>0</v>
      </c>
      <c r="HB337">
        <v>0</v>
      </c>
      <c r="HC337">
        <f t="shared" si="290"/>
        <v>0</v>
      </c>
      <c r="HE337" t="s">
        <v>3</v>
      </c>
      <c r="HF337" t="s">
        <v>3</v>
      </c>
      <c r="HM337" t="s">
        <v>3</v>
      </c>
      <c r="HN337" t="s">
        <v>3</v>
      </c>
      <c r="HO337" t="s">
        <v>3</v>
      </c>
      <c r="HP337" t="s">
        <v>3</v>
      </c>
      <c r="HQ337" t="s">
        <v>3</v>
      </c>
      <c r="IK337">
        <v>0</v>
      </c>
    </row>
    <row r="339" spans="1:245" x14ac:dyDescent="0.2">
      <c r="A339" s="2">
        <v>51</v>
      </c>
      <c r="B339" s="2">
        <f>B309</f>
        <v>1</v>
      </c>
      <c r="C339" s="2">
        <f>A309</f>
        <v>5</v>
      </c>
      <c r="D339" s="2">
        <f>ROW(A309)</f>
        <v>309</v>
      </c>
      <c r="E339" s="2"/>
      <c r="F339" s="2" t="str">
        <f>IF(F309&lt;&gt;"",F309,"")</f>
        <v>Новый подраздел</v>
      </c>
      <c r="G339" s="2" t="str">
        <f>IF(G309&lt;&gt;"",G309,"")</f>
        <v>Электрооборудование</v>
      </c>
      <c r="H339" s="2">
        <v>0</v>
      </c>
      <c r="I339" s="2"/>
      <c r="J339" s="2"/>
      <c r="K339" s="2"/>
      <c r="L339" s="2"/>
      <c r="M339" s="2"/>
      <c r="N339" s="2"/>
      <c r="O339" s="2">
        <f t="shared" ref="O339:T339" si="293">ROUND(AB339,2)</f>
        <v>86867.39</v>
      </c>
      <c r="P339" s="2">
        <f t="shared" si="293"/>
        <v>938.15</v>
      </c>
      <c r="Q339" s="2">
        <f t="shared" si="293"/>
        <v>153.4</v>
      </c>
      <c r="R339" s="2">
        <f t="shared" si="293"/>
        <v>92.63</v>
      </c>
      <c r="S339" s="2">
        <f t="shared" si="293"/>
        <v>85775.84</v>
      </c>
      <c r="T339" s="2">
        <f t="shared" si="293"/>
        <v>0</v>
      </c>
      <c r="U339" s="2">
        <f>AH339</f>
        <v>141.77600000000001</v>
      </c>
      <c r="V339" s="2">
        <f>AI339</f>
        <v>0</v>
      </c>
      <c r="W339" s="2">
        <f>ROUND(AJ339,2)</f>
        <v>0</v>
      </c>
      <c r="X339" s="2">
        <f>ROUND(AK339,2)</f>
        <v>60043.1</v>
      </c>
      <c r="Y339" s="2">
        <f>ROUND(AL339,2)</f>
        <v>8577.59</v>
      </c>
      <c r="Z339" s="2"/>
      <c r="AA339" s="2"/>
      <c r="AB339" s="2">
        <f>ROUND(SUMIF(AA313:AA337,"=1471531721",O313:O337),2)</f>
        <v>86867.39</v>
      </c>
      <c r="AC339" s="2">
        <f>ROUND(SUMIF(AA313:AA337,"=1471531721",P313:P337),2)</f>
        <v>938.15</v>
      </c>
      <c r="AD339" s="2">
        <f>ROUND(SUMIF(AA313:AA337,"=1471531721",Q313:Q337),2)</f>
        <v>153.4</v>
      </c>
      <c r="AE339" s="2">
        <f>ROUND(SUMIF(AA313:AA337,"=1471531721",R313:R337),2)</f>
        <v>92.63</v>
      </c>
      <c r="AF339" s="2">
        <f>ROUND(SUMIF(AA313:AA337,"=1471531721",S313:S337),2)</f>
        <v>85775.84</v>
      </c>
      <c r="AG339" s="2">
        <f>ROUND(SUMIF(AA313:AA337,"=1471531721",T313:T337),2)</f>
        <v>0</v>
      </c>
      <c r="AH339" s="2">
        <f>SUMIF(AA313:AA337,"=1471531721",U313:U337)</f>
        <v>141.77600000000001</v>
      </c>
      <c r="AI339" s="2">
        <f>SUMIF(AA313:AA337,"=1471531721",V313:V337)</f>
        <v>0</v>
      </c>
      <c r="AJ339" s="2">
        <f>ROUND(SUMIF(AA313:AA337,"=1471531721",W313:W337),2)</f>
        <v>0</v>
      </c>
      <c r="AK339" s="2">
        <f>ROUND(SUMIF(AA313:AA337,"=1471531721",X313:X337),2)</f>
        <v>60043.1</v>
      </c>
      <c r="AL339" s="2">
        <f>ROUND(SUMIF(AA313:AA337,"=1471531721",Y313:Y337),2)</f>
        <v>8577.59</v>
      </c>
      <c r="AM339" s="2"/>
      <c r="AN339" s="2"/>
      <c r="AO339" s="2">
        <f t="shared" ref="AO339:BD339" si="294">ROUND(BX339,2)</f>
        <v>0</v>
      </c>
      <c r="AP339" s="2">
        <f t="shared" si="294"/>
        <v>0</v>
      </c>
      <c r="AQ339" s="2">
        <f t="shared" si="294"/>
        <v>0</v>
      </c>
      <c r="AR339" s="2">
        <f t="shared" si="294"/>
        <v>155588.10999999999</v>
      </c>
      <c r="AS339" s="2">
        <f t="shared" si="294"/>
        <v>0</v>
      </c>
      <c r="AT339" s="2">
        <f t="shared" si="294"/>
        <v>0</v>
      </c>
      <c r="AU339" s="2">
        <f t="shared" si="294"/>
        <v>155588.10999999999</v>
      </c>
      <c r="AV339" s="2">
        <f t="shared" si="294"/>
        <v>938.15</v>
      </c>
      <c r="AW339" s="2">
        <f t="shared" si="294"/>
        <v>938.15</v>
      </c>
      <c r="AX339" s="2">
        <f t="shared" si="294"/>
        <v>0</v>
      </c>
      <c r="AY339" s="2">
        <f t="shared" si="294"/>
        <v>938.15</v>
      </c>
      <c r="AZ339" s="2">
        <f t="shared" si="294"/>
        <v>0</v>
      </c>
      <c r="BA339" s="2">
        <f t="shared" si="294"/>
        <v>0</v>
      </c>
      <c r="BB339" s="2">
        <f t="shared" si="294"/>
        <v>0</v>
      </c>
      <c r="BC339" s="2">
        <f t="shared" si="294"/>
        <v>0</v>
      </c>
      <c r="BD339" s="2">
        <f t="shared" si="294"/>
        <v>0</v>
      </c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>
        <f>ROUND(SUMIF(AA313:AA337,"=1471531721",FQ313:FQ337),2)</f>
        <v>0</v>
      </c>
      <c r="BY339" s="2">
        <f>ROUND(SUMIF(AA313:AA337,"=1471531721",FR313:FR337),2)</f>
        <v>0</v>
      </c>
      <c r="BZ339" s="2">
        <f>ROUND(SUMIF(AA313:AA337,"=1471531721",GL313:GL337),2)</f>
        <v>0</v>
      </c>
      <c r="CA339" s="2">
        <f>ROUND(SUMIF(AA313:AA337,"=1471531721",GM313:GM337),2)</f>
        <v>155588.10999999999</v>
      </c>
      <c r="CB339" s="2">
        <f>ROUND(SUMIF(AA313:AA337,"=1471531721",GN313:GN337),2)</f>
        <v>0</v>
      </c>
      <c r="CC339" s="2">
        <f>ROUND(SUMIF(AA313:AA337,"=1471531721",GO313:GO337),2)</f>
        <v>0</v>
      </c>
      <c r="CD339" s="2">
        <f>ROUND(SUMIF(AA313:AA337,"=1471531721",GP313:GP337),2)</f>
        <v>155588.10999999999</v>
      </c>
      <c r="CE339" s="2">
        <f>AC339-BX339</f>
        <v>938.15</v>
      </c>
      <c r="CF339" s="2">
        <f>AC339-BY339</f>
        <v>938.15</v>
      </c>
      <c r="CG339" s="2">
        <f>BX339-BZ339</f>
        <v>0</v>
      </c>
      <c r="CH339" s="2">
        <f>AC339-BX339-BY339+BZ339</f>
        <v>938.15</v>
      </c>
      <c r="CI339" s="2">
        <f>BY339-BZ339</f>
        <v>0</v>
      </c>
      <c r="CJ339" s="2">
        <f>ROUND(SUMIF(AA313:AA337,"=1471531721",GX313:GX337),2)</f>
        <v>0</v>
      </c>
      <c r="CK339" s="2">
        <f>ROUND(SUMIF(AA313:AA337,"=1471531721",GY313:GY337),2)</f>
        <v>0</v>
      </c>
      <c r="CL339" s="2">
        <f>ROUND(SUMIF(AA313:AA337,"=1471531721",GZ313:GZ337),2)</f>
        <v>0</v>
      </c>
      <c r="CM339" s="2">
        <f>ROUND(SUMIF(AA313:AA337,"=1471531721",HD313:HD337),2)</f>
        <v>0</v>
      </c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3"/>
      <c r="DH339" s="3"/>
      <c r="DI339" s="3"/>
      <c r="DJ339" s="3"/>
      <c r="DK339" s="3"/>
      <c r="DL339" s="3"/>
      <c r="DM339" s="3"/>
      <c r="DN339" s="3"/>
      <c r="DO339" s="3"/>
      <c r="DP339" s="3"/>
      <c r="DQ339" s="3"/>
      <c r="DR339" s="3"/>
      <c r="DS339" s="3"/>
      <c r="DT339" s="3"/>
      <c r="DU339" s="3"/>
      <c r="DV339" s="3"/>
      <c r="DW339" s="3"/>
      <c r="DX339" s="3"/>
      <c r="DY339" s="3"/>
      <c r="DZ339" s="3"/>
      <c r="EA339" s="3"/>
      <c r="EB339" s="3"/>
      <c r="EC339" s="3"/>
      <c r="ED339" s="3"/>
      <c r="EE339" s="3"/>
      <c r="EF339" s="3"/>
      <c r="EG339" s="3"/>
      <c r="EH339" s="3"/>
      <c r="EI339" s="3"/>
      <c r="EJ339" s="3"/>
      <c r="EK339" s="3"/>
      <c r="EL339" s="3"/>
      <c r="EM339" s="3"/>
      <c r="EN339" s="3"/>
      <c r="EO339" s="3"/>
      <c r="EP339" s="3"/>
      <c r="EQ339" s="3"/>
      <c r="ER339" s="3"/>
      <c r="ES339" s="3"/>
      <c r="ET339" s="3"/>
      <c r="EU339" s="3"/>
      <c r="EV339" s="3"/>
      <c r="EW339" s="3"/>
      <c r="EX339" s="3"/>
      <c r="EY339" s="3"/>
      <c r="EZ339" s="3"/>
      <c r="FA339" s="3"/>
      <c r="FB339" s="3"/>
      <c r="FC339" s="3"/>
      <c r="FD339" s="3"/>
      <c r="FE339" s="3"/>
      <c r="FF339" s="3"/>
      <c r="FG339" s="3"/>
      <c r="FH339" s="3"/>
      <c r="FI339" s="3"/>
      <c r="FJ339" s="3"/>
      <c r="FK339" s="3"/>
      <c r="FL339" s="3"/>
      <c r="FM339" s="3"/>
      <c r="FN339" s="3"/>
      <c r="FO339" s="3"/>
      <c r="FP339" s="3"/>
      <c r="FQ339" s="3"/>
      <c r="FR339" s="3"/>
      <c r="FS339" s="3"/>
      <c r="FT339" s="3"/>
      <c r="FU339" s="3"/>
      <c r="FV339" s="3"/>
      <c r="FW339" s="3"/>
      <c r="FX339" s="3"/>
      <c r="FY339" s="3"/>
      <c r="FZ339" s="3"/>
      <c r="GA339" s="3"/>
      <c r="GB339" s="3"/>
      <c r="GC339" s="3"/>
      <c r="GD339" s="3"/>
      <c r="GE339" s="3"/>
      <c r="GF339" s="3"/>
      <c r="GG339" s="3"/>
      <c r="GH339" s="3"/>
      <c r="GI339" s="3"/>
      <c r="GJ339" s="3"/>
      <c r="GK339" s="3"/>
      <c r="GL339" s="3"/>
      <c r="GM339" s="3"/>
      <c r="GN339" s="3"/>
      <c r="GO339" s="3"/>
      <c r="GP339" s="3"/>
      <c r="GQ339" s="3"/>
      <c r="GR339" s="3"/>
      <c r="GS339" s="3"/>
      <c r="GT339" s="3"/>
      <c r="GU339" s="3"/>
      <c r="GV339" s="3"/>
      <c r="GW339" s="3"/>
      <c r="GX339" s="3">
        <v>0</v>
      </c>
    </row>
    <row r="341" spans="1:245" x14ac:dyDescent="0.2">
      <c r="A341" s="4">
        <v>50</v>
      </c>
      <c r="B341" s="4">
        <v>0</v>
      </c>
      <c r="C341" s="4">
        <v>0</v>
      </c>
      <c r="D341" s="4">
        <v>1</v>
      </c>
      <c r="E341" s="4">
        <v>201</v>
      </c>
      <c r="F341" s="4">
        <f>ROUND(Source!O339,O341)</f>
        <v>86867.39</v>
      </c>
      <c r="G341" s="4" t="s">
        <v>86</v>
      </c>
      <c r="H341" s="4" t="s">
        <v>87</v>
      </c>
      <c r="I341" s="4"/>
      <c r="J341" s="4"/>
      <c r="K341" s="4">
        <v>201</v>
      </c>
      <c r="L341" s="4">
        <v>1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445.95</v>
      </c>
      <c r="X341" s="4">
        <v>1</v>
      </c>
      <c r="Y341" s="4">
        <v>445.95</v>
      </c>
      <c r="Z341" s="4"/>
      <c r="AA341" s="4"/>
      <c r="AB341" s="4"/>
    </row>
    <row r="342" spans="1:245" x14ac:dyDescent="0.2">
      <c r="A342" s="4">
        <v>50</v>
      </c>
      <c r="B342" s="4">
        <v>0</v>
      </c>
      <c r="C342" s="4">
        <v>0</v>
      </c>
      <c r="D342" s="4">
        <v>1</v>
      </c>
      <c r="E342" s="4">
        <v>202</v>
      </c>
      <c r="F342" s="4">
        <f>ROUND(Source!P339,O342)</f>
        <v>938.15</v>
      </c>
      <c r="G342" s="4" t="s">
        <v>88</v>
      </c>
      <c r="H342" s="4" t="s">
        <v>89</v>
      </c>
      <c r="I342" s="4"/>
      <c r="J342" s="4"/>
      <c r="K342" s="4">
        <v>202</v>
      </c>
      <c r="L342" s="4">
        <v>2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11.16</v>
      </c>
      <c r="X342" s="4">
        <v>1</v>
      </c>
      <c r="Y342" s="4">
        <v>11.16</v>
      </c>
      <c r="Z342" s="4"/>
      <c r="AA342" s="4"/>
      <c r="AB342" s="4"/>
    </row>
    <row r="343" spans="1:245" x14ac:dyDescent="0.2">
      <c r="A343" s="4">
        <v>50</v>
      </c>
      <c r="B343" s="4">
        <v>0</v>
      </c>
      <c r="C343" s="4">
        <v>0</v>
      </c>
      <c r="D343" s="4">
        <v>1</v>
      </c>
      <c r="E343" s="4">
        <v>222</v>
      </c>
      <c r="F343" s="4">
        <f>ROUND(Source!AO339,O343)</f>
        <v>0</v>
      </c>
      <c r="G343" s="4" t="s">
        <v>90</v>
      </c>
      <c r="H343" s="4" t="s">
        <v>91</v>
      </c>
      <c r="I343" s="4"/>
      <c r="J343" s="4"/>
      <c r="K343" s="4">
        <v>222</v>
      </c>
      <c r="L343" s="4">
        <v>3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45" x14ac:dyDescent="0.2">
      <c r="A344" s="4">
        <v>50</v>
      </c>
      <c r="B344" s="4">
        <v>0</v>
      </c>
      <c r="C344" s="4">
        <v>0</v>
      </c>
      <c r="D344" s="4">
        <v>1</v>
      </c>
      <c r="E344" s="4">
        <v>225</v>
      </c>
      <c r="F344" s="4">
        <f>ROUND(Source!AV339,O344)</f>
        <v>938.15</v>
      </c>
      <c r="G344" s="4" t="s">
        <v>92</v>
      </c>
      <c r="H344" s="4" t="s">
        <v>93</v>
      </c>
      <c r="I344" s="4"/>
      <c r="J344" s="4"/>
      <c r="K344" s="4">
        <v>225</v>
      </c>
      <c r="L344" s="4">
        <v>4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11.16</v>
      </c>
      <c r="X344" s="4">
        <v>1</v>
      </c>
      <c r="Y344" s="4">
        <v>11.16</v>
      </c>
      <c r="Z344" s="4"/>
      <c r="AA344" s="4"/>
      <c r="AB344" s="4"/>
    </row>
    <row r="345" spans="1:245" x14ac:dyDescent="0.2">
      <c r="A345" s="4">
        <v>50</v>
      </c>
      <c r="B345" s="4">
        <v>0</v>
      </c>
      <c r="C345" s="4">
        <v>0</v>
      </c>
      <c r="D345" s="4">
        <v>1</v>
      </c>
      <c r="E345" s="4">
        <v>226</v>
      </c>
      <c r="F345" s="4">
        <f>ROUND(Source!AW339,O345)</f>
        <v>938.15</v>
      </c>
      <c r="G345" s="4" t="s">
        <v>94</v>
      </c>
      <c r="H345" s="4" t="s">
        <v>95</v>
      </c>
      <c r="I345" s="4"/>
      <c r="J345" s="4"/>
      <c r="K345" s="4">
        <v>226</v>
      </c>
      <c r="L345" s="4">
        <v>5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11.16</v>
      </c>
      <c r="X345" s="4">
        <v>1</v>
      </c>
      <c r="Y345" s="4">
        <v>11.16</v>
      </c>
      <c r="Z345" s="4"/>
      <c r="AA345" s="4"/>
      <c r="AB345" s="4"/>
    </row>
    <row r="346" spans="1:245" x14ac:dyDescent="0.2">
      <c r="A346" s="4">
        <v>50</v>
      </c>
      <c r="B346" s="4">
        <v>0</v>
      </c>
      <c r="C346" s="4">
        <v>0</v>
      </c>
      <c r="D346" s="4">
        <v>1</v>
      </c>
      <c r="E346" s="4">
        <v>227</v>
      </c>
      <c r="F346" s="4">
        <f>ROUND(Source!AX339,O346)</f>
        <v>0</v>
      </c>
      <c r="G346" s="4" t="s">
        <v>96</v>
      </c>
      <c r="H346" s="4" t="s">
        <v>97</v>
      </c>
      <c r="I346" s="4"/>
      <c r="J346" s="4"/>
      <c r="K346" s="4">
        <v>227</v>
      </c>
      <c r="L346" s="4">
        <v>6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45" x14ac:dyDescent="0.2">
      <c r="A347" s="4">
        <v>50</v>
      </c>
      <c r="B347" s="4">
        <v>0</v>
      </c>
      <c r="C347" s="4">
        <v>0</v>
      </c>
      <c r="D347" s="4">
        <v>1</v>
      </c>
      <c r="E347" s="4">
        <v>228</v>
      </c>
      <c r="F347" s="4">
        <f>ROUND(Source!AY339,O347)</f>
        <v>938.15</v>
      </c>
      <c r="G347" s="4" t="s">
        <v>98</v>
      </c>
      <c r="H347" s="4" t="s">
        <v>99</v>
      </c>
      <c r="I347" s="4"/>
      <c r="J347" s="4"/>
      <c r="K347" s="4">
        <v>228</v>
      </c>
      <c r="L347" s="4">
        <v>7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11.16</v>
      </c>
      <c r="X347" s="4">
        <v>1</v>
      </c>
      <c r="Y347" s="4">
        <v>11.16</v>
      </c>
      <c r="Z347" s="4"/>
      <c r="AA347" s="4"/>
      <c r="AB347" s="4"/>
    </row>
    <row r="348" spans="1:245" x14ac:dyDescent="0.2">
      <c r="A348" s="4">
        <v>50</v>
      </c>
      <c r="B348" s="4">
        <v>0</v>
      </c>
      <c r="C348" s="4">
        <v>0</v>
      </c>
      <c r="D348" s="4">
        <v>1</v>
      </c>
      <c r="E348" s="4">
        <v>216</v>
      </c>
      <c r="F348" s="4">
        <f>ROUND(Source!AP339,O348)</f>
        <v>0</v>
      </c>
      <c r="G348" s="4" t="s">
        <v>100</v>
      </c>
      <c r="H348" s="4" t="s">
        <v>101</v>
      </c>
      <c r="I348" s="4"/>
      <c r="J348" s="4"/>
      <c r="K348" s="4">
        <v>216</v>
      </c>
      <c r="L348" s="4">
        <v>8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45" x14ac:dyDescent="0.2">
      <c r="A349" s="4">
        <v>50</v>
      </c>
      <c r="B349" s="4">
        <v>0</v>
      </c>
      <c r="C349" s="4">
        <v>0</v>
      </c>
      <c r="D349" s="4">
        <v>1</v>
      </c>
      <c r="E349" s="4">
        <v>223</v>
      </c>
      <c r="F349" s="4">
        <f>ROUND(Source!AQ339,O349)</f>
        <v>0</v>
      </c>
      <c r="G349" s="4" t="s">
        <v>102</v>
      </c>
      <c r="H349" s="4" t="s">
        <v>103</v>
      </c>
      <c r="I349" s="4"/>
      <c r="J349" s="4"/>
      <c r="K349" s="4">
        <v>223</v>
      </c>
      <c r="L349" s="4">
        <v>9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45" x14ac:dyDescent="0.2">
      <c r="A350" s="4">
        <v>50</v>
      </c>
      <c r="B350" s="4">
        <v>0</v>
      </c>
      <c r="C350" s="4">
        <v>0</v>
      </c>
      <c r="D350" s="4">
        <v>1</v>
      </c>
      <c r="E350" s="4">
        <v>229</v>
      </c>
      <c r="F350" s="4">
        <f>ROUND(Source!AZ339,O350)</f>
        <v>0</v>
      </c>
      <c r="G350" s="4" t="s">
        <v>104</v>
      </c>
      <c r="H350" s="4" t="s">
        <v>105</v>
      </c>
      <c r="I350" s="4"/>
      <c r="J350" s="4"/>
      <c r="K350" s="4">
        <v>229</v>
      </c>
      <c r="L350" s="4">
        <v>10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0</v>
      </c>
      <c r="X350" s="4">
        <v>1</v>
      </c>
      <c r="Y350" s="4">
        <v>0</v>
      </c>
      <c r="Z350" s="4"/>
      <c r="AA350" s="4"/>
      <c r="AB350" s="4"/>
    </row>
    <row r="351" spans="1:245" x14ac:dyDescent="0.2">
      <c r="A351" s="4">
        <v>50</v>
      </c>
      <c r="B351" s="4">
        <v>0</v>
      </c>
      <c r="C351" s="4">
        <v>0</v>
      </c>
      <c r="D351" s="4">
        <v>1</v>
      </c>
      <c r="E351" s="4">
        <v>203</v>
      </c>
      <c r="F351" s="4">
        <f>ROUND(Source!Q339,O351)</f>
        <v>153.4</v>
      </c>
      <c r="G351" s="4" t="s">
        <v>106</v>
      </c>
      <c r="H351" s="4" t="s">
        <v>107</v>
      </c>
      <c r="I351" s="4"/>
      <c r="J351" s="4"/>
      <c r="K351" s="4">
        <v>203</v>
      </c>
      <c r="L351" s="4">
        <v>11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231</v>
      </c>
      <c r="F352" s="4">
        <f>ROUND(Source!BB339,O352)</f>
        <v>0</v>
      </c>
      <c r="G352" s="4" t="s">
        <v>108</v>
      </c>
      <c r="H352" s="4" t="s">
        <v>109</v>
      </c>
      <c r="I352" s="4"/>
      <c r="J352" s="4"/>
      <c r="K352" s="4">
        <v>231</v>
      </c>
      <c r="L352" s="4">
        <v>12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0</v>
      </c>
      <c r="X352" s="4">
        <v>1</v>
      </c>
      <c r="Y352" s="4">
        <v>0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204</v>
      </c>
      <c r="F353" s="4">
        <f>ROUND(Source!R339,O353)</f>
        <v>92.63</v>
      </c>
      <c r="G353" s="4" t="s">
        <v>110</v>
      </c>
      <c r="H353" s="4" t="s">
        <v>111</v>
      </c>
      <c r="I353" s="4"/>
      <c r="J353" s="4"/>
      <c r="K353" s="4">
        <v>204</v>
      </c>
      <c r="L353" s="4">
        <v>13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205</v>
      </c>
      <c r="F354" s="4">
        <f>ROUND(Source!S339,O354)</f>
        <v>85775.84</v>
      </c>
      <c r="G354" s="4" t="s">
        <v>112</v>
      </c>
      <c r="H354" s="4" t="s">
        <v>113</v>
      </c>
      <c r="I354" s="4"/>
      <c r="J354" s="4"/>
      <c r="K354" s="4">
        <v>205</v>
      </c>
      <c r="L354" s="4">
        <v>14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434.79</v>
      </c>
      <c r="X354" s="4">
        <v>1</v>
      </c>
      <c r="Y354" s="4">
        <v>434.79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232</v>
      </c>
      <c r="F355" s="4">
        <f>ROUND(Source!BC339,O355)</f>
        <v>0</v>
      </c>
      <c r="G355" s="4" t="s">
        <v>114</v>
      </c>
      <c r="H355" s="4" t="s">
        <v>115</v>
      </c>
      <c r="I355" s="4"/>
      <c r="J355" s="4"/>
      <c r="K355" s="4">
        <v>232</v>
      </c>
      <c r="L355" s="4">
        <v>15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214</v>
      </c>
      <c r="F356" s="4">
        <f>ROUND(Source!AS339,O356)</f>
        <v>0</v>
      </c>
      <c r="G356" s="4" t="s">
        <v>116</v>
      </c>
      <c r="H356" s="4" t="s">
        <v>117</v>
      </c>
      <c r="I356" s="4"/>
      <c r="J356" s="4"/>
      <c r="K356" s="4">
        <v>214</v>
      </c>
      <c r="L356" s="4">
        <v>16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215</v>
      </c>
      <c r="F357" s="4">
        <f>ROUND(Source!AT339,O357)</f>
        <v>0</v>
      </c>
      <c r="G357" s="4" t="s">
        <v>118</v>
      </c>
      <c r="H357" s="4" t="s">
        <v>119</v>
      </c>
      <c r="I357" s="4"/>
      <c r="J357" s="4"/>
      <c r="K357" s="4">
        <v>215</v>
      </c>
      <c r="L357" s="4">
        <v>17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217</v>
      </c>
      <c r="F358" s="4">
        <f>ROUND(Source!AU339,O358)</f>
        <v>155588.10999999999</v>
      </c>
      <c r="G358" s="4" t="s">
        <v>120</v>
      </c>
      <c r="H358" s="4" t="s">
        <v>121</v>
      </c>
      <c r="I358" s="4"/>
      <c r="J358" s="4"/>
      <c r="K358" s="4">
        <v>217</v>
      </c>
      <c r="L358" s="4">
        <v>18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793.78</v>
      </c>
      <c r="X358" s="4">
        <v>1</v>
      </c>
      <c r="Y358" s="4">
        <v>793.78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230</v>
      </c>
      <c r="F359" s="4">
        <f>ROUND(Source!BA339,O359)</f>
        <v>0</v>
      </c>
      <c r="G359" s="4" t="s">
        <v>122</v>
      </c>
      <c r="H359" s="4" t="s">
        <v>123</v>
      </c>
      <c r="I359" s="4"/>
      <c r="J359" s="4"/>
      <c r="K359" s="4">
        <v>230</v>
      </c>
      <c r="L359" s="4">
        <v>19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206</v>
      </c>
      <c r="F360" s="4">
        <f>ROUND(Source!T339,O360)</f>
        <v>0</v>
      </c>
      <c r="G360" s="4" t="s">
        <v>124</v>
      </c>
      <c r="H360" s="4" t="s">
        <v>125</v>
      </c>
      <c r="I360" s="4"/>
      <c r="J360" s="4"/>
      <c r="K360" s="4">
        <v>206</v>
      </c>
      <c r="L360" s="4">
        <v>20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207</v>
      </c>
      <c r="F361" s="4">
        <f>Source!U339</f>
        <v>141.77600000000001</v>
      </c>
      <c r="G361" s="4" t="s">
        <v>126</v>
      </c>
      <c r="H361" s="4" t="s">
        <v>127</v>
      </c>
      <c r="I361" s="4"/>
      <c r="J361" s="4"/>
      <c r="K361" s="4">
        <v>207</v>
      </c>
      <c r="L361" s="4">
        <v>21</v>
      </c>
      <c r="M361" s="4">
        <v>3</v>
      </c>
      <c r="N361" s="4" t="s">
        <v>3</v>
      </c>
      <c r="O361" s="4">
        <v>-1</v>
      </c>
      <c r="P361" s="4"/>
      <c r="Q361" s="4"/>
      <c r="R361" s="4"/>
      <c r="S361" s="4"/>
      <c r="T361" s="4"/>
      <c r="U361" s="4"/>
      <c r="V361" s="4"/>
      <c r="W361" s="4">
        <v>0.76800000000000002</v>
      </c>
      <c r="X361" s="4">
        <v>1</v>
      </c>
      <c r="Y361" s="4">
        <v>0.76800000000000002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208</v>
      </c>
      <c r="F362" s="4">
        <f>Source!V339</f>
        <v>0</v>
      </c>
      <c r="G362" s="4" t="s">
        <v>128</v>
      </c>
      <c r="H362" s="4" t="s">
        <v>129</v>
      </c>
      <c r="I362" s="4"/>
      <c r="J362" s="4"/>
      <c r="K362" s="4">
        <v>208</v>
      </c>
      <c r="L362" s="4">
        <v>22</v>
      </c>
      <c r="M362" s="4">
        <v>3</v>
      </c>
      <c r="N362" s="4" t="s">
        <v>3</v>
      </c>
      <c r="O362" s="4">
        <v>-1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209</v>
      </c>
      <c r="F363" s="4">
        <f>ROUND(Source!W339,O363)</f>
        <v>0</v>
      </c>
      <c r="G363" s="4" t="s">
        <v>130</v>
      </c>
      <c r="H363" s="4" t="s">
        <v>131</v>
      </c>
      <c r="I363" s="4"/>
      <c r="J363" s="4"/>
      <c r="K363" s="4">
        <v>209</v>
      </c>
      <c r="L363" s="4">
        <v>23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233</v>
      </c>
      <c r="F364" s="4">
        <f>ROUND(Source!BD339,O364)</f>
        <v>0</v>
      </c>
      <c r="G364" s="4" t="s">
        <v>132</v>
      </c>
      <c r="H364" s="4" t="s">
        <v>133</v>
      </c>
      <c r="I364" s="4"/>
      <c r="J364" s="4"/>
      <c r="K364" s="4">
        <v>233</v>
      </c>
      <c r="L364" s="4">
        <v>24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210</v>
      </c>
      <c r="F365" s="4">
        <f>ROUND(Source!X339,O365)</f>
        <v>60043.1</v>
      </c>
      <c r="G365" s="4" t="s">
        <v>134</v>
      </c>
      <c r="H365" s="4" t="s">
        <v>135</v>
      </c>
      <c r="I365" s="4"/>
      <c r="J365" s="4"/>
      <c r="K365" s="4">
        <v>210</v>
      </c>
      <c r="L365" s="4">
        <v>25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304.35000000000002</v>
      </c>
      <c r="X365" s="4">
        <v>1</v>
      </c>
      <c r="Y365" s="4">
        <v>304.35000000000002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211</v>
      </c>
      <c r="F366" s="4">
        <f>ROUND(Source!Y339,O366)</f>
        <v>8577.59</v>
      </c>
      <c r="G366" s="4" t="s">
        <v>136</v>
      </c>
      <c r="H366" s="4" t="s">
        <v>137</v>
      </c>
      <c r="I366" s="4"/>
      <c r="J366" s="4"/>
      <c r="K366" s="4">
        <v>211</v>
      </c>
      <c r="L366" s="4">
        <v>26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43.48</v>
      </c>
      <c r="X366" s="4">
        <v>1</v>
      </c>
      <c r="Y366" s="4">
        <v>43.48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224</v>
      </c>
      <c r="F367" s="4">
        <f>ROUND(Source!AR339,O367)</f>
        <v>155588.10999999999</v>
      </c>
      <c r="G367" s="4" t="s">
        <v>138</v>
      </c>
      <c r="H367" s="4" t="s">
        <v>139</v>
      </c>
      <c r="I367" s="4"/>
      <c r="J367" s="4"/>
      <c r="K367" s="4">
        <v>224</v>
      </c>
      <c r="L367" s="4">
        <v>27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793.78</v>
      </c>
      <c r="X367" s="4">
        <v>1</v>
      </c>
      <c r="Y367" s="4">
        <v>793.78</v>
      </c>
      <c r="Z367" s="4"/>
      <c r="AA367" s="4"/>
      <c r="AB367" s="4"/>
    </row>
    <row r="369" spans="1:206" x14ac:dyDescent="0.2">
      <c r="A369" s="2">
        <v>51</v>
      </c>
      <c r="B369" s="2">
        <f>B209</f>
        <v>1</v>
      </c>
      <c r="C369" s="2">
        <f>A209</f>
        <v>4</v>
      </c>
      <c r="D369" s="2">
        <f>ROW(A209)</f>
        <v>209</v>
      </c>
      <c r="E369" s="2"/>
      <c r="F369" s="2" t="str">
        <f>IF(F209&lt;&gt;"",F209,"")</f>
        <v>Новый раздел</v>
      </c>
      <c r="G369" s="2" t="str">
        <f>IF(G209&lt;&gt;"",G209,"")</f>
        <v>Туалетный модуль 2 кабины (4 шт.)</v>
      </c>
      <c r="H369" s="2">
        <v>0</v>
      </c>
      <c r="I369" s="2"/>
      <c r="J369" s="2"/>
      <c r="K369" s="2"/>
      <c r="L369" s="2"/>
      <c r="M369" s="2"/>
      <c r="N369" s="2"/>
      <c r="O369" s="2">
        <f t="shared" ref="O369:T369" si="295">ROUND(O238+O279+O339+AB369,2)</f>
        <v>160938.01999999999</v>
      </c>
      <c r="P369" s="2">
        <f t="shared" si="295"/>
        <v>24612.28</v>
      </c>
      <c r="Q369" s="2">
        <f t="shared" si="295"/>
        <v>8415.82</v>
      </c>
      <c r="R369" s="2">
        <f t="shared" si="295"/>
        <v>5262.59</v>
      </c>
      <c r="S369" s="2">
        <f t="shared" si="295"/>
        <v>127909.92</v>
      </c>
      <c r="T369" s="2">
        <f t="shared" si="295"/>
        <v>0</v>
      </c>
      <c r="U369" s="2">
        <f>U238+U279+U339+AH369</f>
        <v>212.2552</v>
      </c>
      <c r="V369" s="2">
        <f>V238+V279+V339+AI369</f>
        <v>0</v>
      </c>
      <c r="W369" s="2">
        <f>ROUND(W238+W279+W339+AJ369,2)</f>
        <v>0</v>
      </c>
      <c r="X369" s="2">
        <f>ROUND(X238+X279+X339+AK369,2)</f>
        <v>89536.94</v>
      </c>
      <c r="Y369" s="2">
        <f>ROUND(Y238+Y279+Y339+AL369,2)</f>
        <v>12791</v>
      </c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>
        <f t="shared" ref="AO369:BD369" si="296">ROUND(AO238+AO279+AO339+BX369,2)</f>
        <v>0</v>
      </c>
      <c r="AP369" s="2">
        <f t="shared" si="296"/>
        <v>0</v>
      </c>
      <c r="AQ369" s="2">
        <f t="shared" si="296"/>
        <v>0</v>
      </c>
      <c r="AR369" s="2">
        <f t="shared" si="296"/>
        <v>268949.53000000003</v>
      </c>
      <c r="AS369" s="2">
        <f t="shared" si="296"/>
        <v>0</v>
      </c>
      <c r="AT369" s="2">
        <f t="shared" si="296"/>
        <v>0</v>
      </c>
      <c r="AU369" s="2">
        <f t="shared" si="296"/>
        <v>268949.53000000003</v>
      </c>
      <c r="AV369" s="2">
        <f t="shared" si="296"/>
        <v>24612.28</v>
      </c>
      <c r="AW369" s="2">
        <f t="shared" si="296"/>
        <v>24612.28</v>
      </c>
      <c r="AX369" s="2">
        <f t="shared" si="296"/>
        <v>0</v>
      </c>
      <c r="AY369" s="2">
        <f t="shared" si="296"/>
        <v>24612.28</v>
      </c>
      <c r="AZ369" s="2">
        <f t="shared" si="296"/>
        <v>0</v>
      </c>
      <c r="BA369" s="2">
        <f t="shared" si="296"/>
        <v>0</v>
      </c>
      <c r="BB369" s="2">
        <f t="shared" si="296"/>
        <v>0</v>
      </c>
      <c r="BC369" s="2">
        <f t="shared" si="296"/>
        <v>0</v>
      </c>
      <c r="BD369" s="2">
        <f t="shared" si="296"/>
        <v>0</v>
      </c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3"/>
      <c r="DH369" s="3"/>
      <c r="DI369" s="3"/>
      <c r="DJ369" s="3"/>
      <c r="DK369" s="3"/>
      <c r="DL369" s="3"/>
      <c r="DM369" s="3"/>
      <c r="DN369" s="3"/>
      <c r="DO369" s="3"/>
      <c r="DP369" s="3"/>
      <c r="DQ369" s="3"/>
      <c r="DR369" s="3"/>
      <c r="DS369" s="3"/>
      <c r="DT369" s="3"/>
      <c r="DU369" s="3"/>
      <c r="DV369" s="3"/>
      <c r="DW369" s="3"/>
      <c r="DX369" s="3"/>
      <c r="DY369" s="3"/>
      <c r="DZ369" s="3"/>
      <c r="EA369" s="3"/>
      <c r="EB369" s="3"/>
      <c r="EC369" s="3"/>
      <c r="ED369" s="3"/>
      <c r="EE369" s="3"/>
      <c r="EF369" s="3"/>
      <c r="EG369" s="3"/>
      <c r="EH369" s="3"/>
      <c r="EI369" s="3"/>
      <c r="EJ369" s="3"/>
      <c r="EK369" s="3"/>
      <c r="EL369" s="3"/>
      <c r="EM369" s="3"/>
      <c r="EN369" s="3"/>
      <c r="EO369" s="3"/>
      <c r="EP369" s="3"/>
      <c r="EQ369" s="3"/>
      <c r="ER369" s="3"/>
      <c r="ES369" s="3"/>
      <c r="ET369" s="3"/>
      <c r="EU369" s="3"/>
      <c r="EV369" s="3"/>
      <c r="EW369" s="3"/>
      <c r="EX369" s="3"/>
      <c r="EY369" s="3"/>
      <c r="EZ369" s="3"/>
      <c r="FA369" s="3"/>
      <c r="FB369" s="3"/>
      <c r="FC369" s="3"/>
      <c r="FD369" s="3"/>
      <c r="FE369" s="3"/>
      <c r="FF369" s="3"/>
      <c r="FG369" s="3"/>
      <c r="FH369" s="3"/>
      <c r="FI369" s="3"/>
      <c r="FJ369" s="3"/>
      <c r="FK369" s="3"/>
      <c r="FL369" s="3"/>
      <c r="FM369" s="3"/>
      <c r="FN369" s="3"/>
      <c r="FO369" s="3"/>
      <c r="FP369" s="3"/>
      <c r="FQ369" s="3"/>
      <c r="FR369" s="3"/>
      <c r="FS369" s="3"/>
      <c r="FT369" s="3"/>
      <c r="FU369" s="3"/>
      <c r="FV369" s="3"/>
      <c r="FW369" s="3"/>
      <c r="FX369" s="3"/>
      <c r="FY369" s="3"/>
      <c r="FZ369" s="3"/>
      <c r="GA369" s="3"/>
      <c r="GB369" s="3"/>
      <c r="GC369" s="3"/>
      <c r="GD369" s="3"/>
      <c r="GE369" s="3"/>
      <c r="GF369" s="3"/>
      <c r="GG369" s="3"/>
      <c r="GH369" s="3"/>
      <c r="GI369" s="3"/>
      <c r="GJ369" s="3"/>
      <c r="GK369" s="3"/>
      <c r="GL369" s="3"/>
      <c r="GM369" s="3"/>
      <c r="GN369" s="3"/>
      <c r="GO369" s="3"/>
      <c r="GP369" s="3"/>
      <c r="GQ369" s="3"/>
      <c r="GR369" s="3"/>
      <c r="GS369" s="3"/>
      <c r="GT369" s="3"/>
      <c r="GU369" s="3"/>
      <c r="GV369" s="3"/>
      <c r="GW369" s="3"/>
      <c r="GX369" s="3">
        <v>0</v>
      </c>
    </row>
    <row r="371" spans="1:206" x14ac:dyDescent="0.2">
      <c r="A371" s="4">
        <v>50</v>
      </c>
      <c r="B371" s="4">
        <v>0</v>
      </c>
      <c r="C371" s="4">
        <v>0</v>
      </c>
      <c r="D371" s="4">
        <v>1</v>
      </c>
      <c r="E371" s="4">
        <v>201</v>
      </c>
      <c r="F371" s="4">
        <f>ROUND(Source!O369,O371)</f>
        <v>160938.01999999999</v>
      </c>
      <c r="G371" s="4" t="s">
        <v>86</v>
      </c>
      <c r="H371" s="4" t="s">
        <v>87</v>
      </c>
      <c r="I371" s="4"/>
      <c r="J371" s="4"/>
      <c r="K371" s="4">
        <v>201</v>
      </c>
      <c r="L371" s="4">
        <v>1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144684.07</v>
      </c>
      <c r="X371" s="4">
        <v>1</v>
      </c>
      <c r="Y371" s="4">
        <v>144684.07</v>
      </c>
      <c r="Z371" s="4"/>
      <c r="AA371" s="4"/>
      <c r="AB371" s="4"/>
    </row>
    <row r="372" spans="1:206" x14ac:dyDescent="0.2">
      <c r="A372" s="4">
        <v>50</v>
      </c>
      <c r="B372" s="4">
        <v>0</v>
      </c>
      <c r="C372" s="4">
        <v>0</v>
      </c>
      <c r="D372" s="4">
        <v>1</v>
      </c>
      <c r="E372" s="4">
        <v>202</v>
      </c>
      <c r="F372" s="4">
        <f>ROUND(Source!P369,O372)</f>
        <v>24612.28</v>
      </c>
      <c r="G372" s="4" t="s">
        <v>88</v>
      </c>
      <c r="H372" s="4" t="s">
        <v>89</v>
      </c>
      <c r="I372" s="4"/>
      <c r="J372" s="4"/>
      <c r="K372" s="4">
        <v>202</v>
      </c>
      <c r="L372" s="4">
        <v>2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24468.55</v>
      </c>
      <c r="X372" s="4">
        <v>1</v>
      </c>
      <c r="Y372" s="4">
        <v>24468.55</v>
      </c>
      <c r="Z372" s="4"/>
      <c r="AA372" s="4"/>
      <c r="AB372" s="4"/>
    </row>
    <row r="373" spans="1:206" x14ac:dyDescent="0.2">
      <c r="A373" s="4">
        <v>50</v>
      </c>
      <c r="B373" s="4">
        <v>0</v>
      </c>
      <c r="C373" s="4">
        <v>0</v>
      </c>
      <c r="D373" s="4">
        <v>1</v>
      </c>
      <c r="E373" s="4">
        <v>222</v>
      </c>
      <c r="F373" s="4">
        <f>ROUND(Source!AO369,O373)</f>
        <v>0</v>
      </c>
      <c r="G373" s="4" t="s">
        <v>90</v>
      </c>
      <c r="H373" s="4" t="s">
        <v>91</v>
      </c>
      <c r="I373" s="4"/>
      <c r="J373" s="4"/>
      <c r="K373" s="4">
        <v>222</v>
      </c>
      <c r="L373" s="4">
        <v>3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225</v>
      </c>
      <c r="F374" s="4">
        <f>ROUND(Source!AV369,O374)</f>
        <v>24612.28</v>
      </c>
      <c r="G374" s="4" t="s">
        <v>92</v>
      </c>
      <c r="H374" s="4" t="s">
        <v>93</v>
      </c>
      <c r="I374" s="4"/>
      <c r="J374" s="4"/>
      <c r="K374" s="4">
        <v>225</v>
      </c>
      <c r="L374" s="4">
        <v>4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24468.55</v>
      </c>
      <c r="X374" s="4">
        <v>1</v>
      </c>
      <c r="Y374" s="4">
        <v>24468.55</v>
      </c>
      <c r="Z374" s="4"/>
      <c r="AA374" s="4"/>
      <c r="AB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226</v>
      </c>
      <c r="F375" s="4">
        <f>ROUND(Source!AW369,O375)</f>
        <v>24612.28</v>
      </c>
      <c r="G375" s="4" t="s">
        <v>94</v>
      </c>
      <c r="H375" s="4" t="s">
        <v>95</v>
      </c>
      <c r="I375" s="4"/>
      <c r="J375" s="4"/>
      <c r="K375" s="4">
        <v>226</v>
      </c>
      <c r="L375" s="4">
        <v>5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24468.55</v>
      </c>
      <c r="X375" s="4">
        <v>1</v>
      </c>
      <c r="Y375" s="4">
        <v>24468.55</v>
      </c>
      <c r="Z375" s="4"/>
      <c r="AA375" s="4"/>
      <c r="AB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227</v>
      </c>
      <c r="F376" s="4">
        <f>ROUND(Source!AX369,O376)</f>
        <v>0</v>
      </c>
      <c r="G376" s="4" t="s">
        <v>96</v>
      </c>
      <c r="H376" s="4" t="s">
        <v>97</v>
      </c>
      <c r="I376" s="4"/>
      <c r="J376" s="4"/>
      <c r="K376" s="4">
        <v>227</v>
      </c>
      <c r="L376" s="4">
        <v>6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228</v>
      </c>
      <c r="F377" s="4">
        <f>ROUND(Source!AY369,O377)</f>
        <v>24612.28</v>
      </c>
      <c r="G377" s="4" t="s">
        <v>98</v>
      </c>
      <c r="H377" s="4" t="s">
        <v>99</v>
      </c>
      <c r="I377" s="4"/>
      <c r="J377" s="4"/>
      <c r="K377" s="4">
        <v>228</v>
      </c>
      <c r="L377" s="4">
        <v>7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24468.55</v>
      </c>
      <c r="X377" s="4">
        <v>1</v>
      </c>
      <c r="Y377" s="4">
        <v>24468.55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216</v>
      </c>
      <c r="F378" s="4">
        <f>ROUND(Source!AP369,O378)</f>
        <v>0</v>
      </c>
      <c r="G378" s="4" t="s">
        <v>100</v>
      </c>
      <c r="H378" s="4" t="s">
        <v>101</v>
      </c>
      <c r="I378" s="4"/>
      <c r="J378" s="4"/>
      <c r="K378" s="4">
        <v>216</v>
      </c>
      <c r="L378" s="4">
        <v>8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223</v>
      </c>
      <c r="F379" s="4">
        <f>ROUND(Source!AQ369,O379)</f>
        <v>0</v>
      </c>
      <c r="G379" s="4" t="s">
        <v>102</v>
      </c>
      <c r="H379" s="4" t="s">
        <v>103</v>
      </c>
      <c r="I379" s="4"/>
      <c r="J379" s="4"/>
      <c r="K379" s="4">
        <v>223</v>
      </c>
      <c r="L379" s="4">
        <v>9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06" x14ac:dyDescent="0.2">
      <c r="A380" s="4">
        <v>50</v>
      </c>
      <c r="B380" s="4">
        <v>0</v>
      </c>
      <c r="C380" s="4">
        <v>0</v>
      </c>
      <c r="D380" s="4">
        <v>1</v>
      </c>
      <c r="E380" s="4">
        <v>229</v>
      </c>
      <c r="F380" s="4">
        <f>ROUND(Source!AZ369,O380)</f>
        <v>0</v>
      </c>
      <c r="G380" s="4" t="s">
        <v>104</v>
      </c>
      <c r="H380" s="4" t="s">
        <v>105</v>
      </c>
      <c r="I380" s="4"/>
      <c r="J380" s="4"/>
      <c r="K380" s="4">
        <v>229</v>
      </c>
      <c r="L380" s="4">
        <v>10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06" x14ac:dyDescent="0.2">
      <c r="A381" s="4">
        <v>50</v>
      </c>
      <c r="B381" s="4">
        <v>0</v>
      </c>
      <c r="C381" s="4">
        <v>0</v>
      </c>
      <c r="D381" s="4">
        <v>1</v>
      </c>
      <c r="E381" s="4">
        <v>203</v>
      </c>
      <c r="F381" s="4">
        <f>ROUND(Source!Q369,O381)</f>
        <v>8415.82</v>
      </c>
      <c r="G381" s="4" t="s">
        <v>106</v>
      </c>
      <c r="H381" s="4" t="s">
        <v>107</v>
      </c>
      <c r="I381" s="4"/>
      <c r="J381" s="4"/>
      <c r="K381" s="4">
        <v>203</v>
      </c>
      <c r="L381" s="4">
        <v>11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7780.48</v>
      </c>
      <c r="X381" s="4">
        <v>1</v>
      </c>
      <c r="Y381" s="4">
        <v>7780.48</v>
      </c>
      <c r="Z381" s="4"/>
      <c r="AA381" s="4"/>
      <c r="AB381" s="4"/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231</v>
      </c>
      <c r="F382" s="4">
        <f>ROUND(Source!BB369,O382)</f>
        <v>0</v>
      </c>
      <c r="G382" s="4" t="s">
        <v>108</v>
      </c>
      <c r="H382" s="4" t="s">
        <v>109</v>
      </c>
      <c r="I382" s="4"/>
      <c r="J382" s="4"/>
      <c r="K382" s="4">
        <v>231</v>
      </c>
      <c r="L382" s="4">
        <v>12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06" x14ac:dyDescent="0.2">
      <c r="A383" s="4">
        <v>50</v>
      </c>
      <c r="B383" s="4">
        <v>0</v>
      </c>
      <c r="C383" s="4">
        <v>0</v>
      </c>
      <c r="D383" s="4">
        <v>1</v>
      </c>
      <c r="E383" s="4">
        <v>204</v>
      </c>
      <c r="F383" s="4">
        <f>ROUND(Source!R369,O383)</f>
        <v>5262.59</v>
      </c>
      <c r="G383" s="4" t="s">
        <v>110</v>
      </c>
      <c r="H383" s="4" t="s">
        <v>111</v>
      </c>
      <c r="I383" s="4"/>
      <c r="J383" s="4"/>
      <c r="K383" s="4">
        <v>204</v>
      </c>
      <c r="L383" s="4">
        <v>13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4865.91</v>
      </c>
      <c r="X383" s="4">
        <v>1</v>
      </c>
      <c r="Y383" s="4">
        <v>4865.91</v>
      </c>
      <c r="Z383" s="4"/>
      <c r="AA383" s="4"/>
      <c r="AB383" s="4"/>
    </row>
    <row r="384" spans="1:206" x14ac:dyDescent="0.2">
      <c r="A384" s="4">
        <v>50</v>
      </c>
      <c r="B384" s="4">
        <v>0</v>
      </c>
      <c r="C384" s="4">
        <v>0</v>
      </c>
      <c r="D384" s="4">
        <v>1</v>
      </c>
      <c r="E384" s="4">
        <v>205</v>
      </c>
      <c r="F384" s="4">
        <f>ROUND(Source!S369,O384)</f>
        <v>127909.92</v>
      </c>
      <c r="G384" s="4" t="s">
        <v>112</v>
      </c>
      <c r="H384" s="4" t="s">
        <v>113</v>
      </c>
      <c r="I384" s="4"/>
      <c r="J384" s="4"/>
      <c r="K384" s="4">
        <v>205</v>
      </c>
      <c r="L384" s="4">
        <v>14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112435.04</v>
      </c>
      <c r="X384" s="4">
        <v>1</v>
      </c>
      <c r="Y384" s="4">
        <v>112435.04</v>
      </c>
      <c r="Z384" s="4"/>
      <c r="AA384" s="4"/>
      <c r="AB384" s="4"/>
    </row>
    <row r="385" spans="1:88" x14ac:dyDescent="0.2">
      <c r="A385" s="4">
        <v>50</v>
      </c>
      <c r="B385" s="4">
        <v>0</v>
      </c>
      <c r="C385" s="4">
        <v>0</v>
      </c>
      <c r="D385" s="4">
        <v>1</v>
      </c>
      <c r="E385" s="4">
        <v>232</v>
      </c>
      <c r="F385" s="4">
        <f>ROUND(Source!BC369,O385)</f>
        <v>0</v>
      </c>
      <c r="G385" s="4" t="s">
        <v>114</v>
      </c>
      <c r="H385" s="4" t="s">
        <v>115</v>
      </c>
      <c r="I385" s="4"/>
      <c r="J385" s="4"/>
      <c r="K385" s="4">
        <v>232</v>
      </c>
      <c r="L385" s="4">
        <v>15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88" x14ac:dyDescent="0.2">
      <c r="A386" s="4">
        <v>50</v>
      </c>
      <c r="B386" s="4">
        <v>0</v>
      </c>
      <c r="C386" s="4">
        <v>0</v>
      </c>
      <c r="D386" s="4">
        <v>1</v>
      </c>
      <c r="E386" s="4">
        <v>214</v>
      </c>
      <c r="F386" s="4">
        <f>ROUND(Source!AS369,O386)</f>
        <v>0</v>
      </c>
      <c r="G386" s="4" t="s">
        <v>116</v>
      </c>
      <c r="H386" s="4" t="s">
        <v>117</v>
      </c>
      <c r="I386" s="4"/>
      <c r="J386" s="4"/>
      <c r="K386" s="4">
        <v>214</v>
      </c>
      <c r="L386" s="4">
        <v>16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88" x14ac:dyDescent="0.2">
      <c r="A387" s="4">
        <v>50</v>
      </c>
      <c r="B387" s="4">
        <v>0</v>
      </c>
      <c r="C387" s="4">
        <v>0</v>
      </c>
      <c r="D387" s="4">
        <v>1</v>
      </c>
      <c r="E387" s="4">
        <v>215</v>
      </c>
      <c r="F387" s="4">
        <f>ROUND(Source!AT369,O387)</f>
        <v>0</v>
      </c>
      <c r="G387" s="4" t="s">
        <v>118</v>
      </c>
      <c r="H387" s="4" t="s">
        <v>119</v>
      </c>
      <c r="I387" s="4"/>
      <c r="J387" s="4"/>
      <c r="K387" s="4">
        <v>215</v>
      </c>
      <c r="L387" s="4">
        <v>17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88" x14ac:dyDescent="0.2">
      <c r="A388" s="4">
        <v>50</v>
      </c>
      <c r="B388" s="4">
        <v>0</v>
      </c>
      <c r="C388" s="4">
        <v>0</v>
      </c>
      <c r="D388" s="4">
        <v>1</v>
      </c>
      <c r="E388" s="4">
        <v>217</v>
      </c>
      <c r="F388" s="4">
        <f>ROUND(Source!AU369,O388)</f>
        <v>268949.53000000003</v>
      </c>
      <c r="G388" s="4" t="s">
        <v>120</v>
      </c>
      <c r="H388" s="4" t="s">
        <v>121</v>
      </c>
      <c r="I388" s="4"/>
      <c r="J388" s="4"/>
      <c r="K388" s="4">
        <v>217</v>
      </c>
      <c r="L388" s="4">
        <v>18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239887.28</v>
      </c>
      <c r="X388" s="4">
        <v>1</v>
      </c>
      <c r="Y388" s="4">
        <v>239887.28</v>
      </c>
      <c r="Z388" s="4"/>
      <c r="AA388" s="4"/>
      <c r="AB388" s="4"/>
    </row>
    <row r="389" spans="1:88" x14ac:dyDescent="0.2">
      <c r="A389" s="4">
        <v>50</v>
      </c>
      <c r="B389" s="4">
        <v>0</v>
      </c>
      <c r="C389" s="4">
        <v>0</v>
      </c>
      <c r="D389" s="4">
        <v>1</v>
      </c>
      <c r="E389" s="4">
        <v>230</v>
      </c>
      <c r="F389" s="4">
        <f>ROUND(Source!BA369,O389)</f>
        <v>0</v>
      </c>
      <c r="G389" s="4" t="s">
        <v>122</v>
      </c>
      <c r="H389" s="4" t="s">
        <v>123</v>
      </c>
      <c r="I389" s="4"/>
      <c r="J389" s="4"/>
      <c r="K389" s="4">
        <v>230</v>
      </c>
      <c r="L389" s="4">
        <v>19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88" x14ac:dyDescent="0.2">
      <c r="A390" s="4">
        <v>50</v>
      </c>
      <c r="B390" s="4">
        <v>0</v>
      </c>
      <c r="C390" s="4">
        <v>0</v>
      </c>
      <c r="D390" s="4">
        <v>1</v>
      </c>
      <c r="E390" s="4">
        <v>206</v>
      </c>
      <c r="F390" s="4">
        <f>ROUND(Source!T369,O390)</f>
        <v>0</v>
      </c>
      <c r="G390" s="4" t="s">
        <v>124</v>
      </c>
      <c r="H390" s="4" t="s">
        <v>125</v>
      </c>
      <c r="I390" s="4"/>
      <c r="J390" s="4"/>
      <c r="K390" s="4">
        <v>206</v>
      </c>
      <c r="L390" s="4">
        <v>20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88" x14ac:dyDescent="0.2">
      <c r="A391" s="4">
        <v>50</v>
      </c>
      <c r="B391" s="4">
        <v>0</v>
      </c>
      <c r="C391" s="4">
        <v>0</v>
      </c>
      <c r="D391" s="4">
        <v>1</v>
      </c>
      <c r="E391" s="4">
        <v>207</v>
      </c>
      <c r="F391" s="4">
        <f>Source!U369</f>
        <v>212.2552</v>
      </c>
      <c r="G391" s="4" t="s">
        <v>126</v>
      </c>
      <c r="H391" s="4" t="s">
        <v>127</v>
      </c>
      <c r="I391" s="4"/>
      <c r="J391" s="4"/>
      <c r="K391" s="4">
        <v>207</v>
      </c>
      <c r="L391" s="4">
        <v>21</v>
      </c>
      <c r="M391" s="4">
        <v>3</v>
      </c>
      <c r="N391" s="4" t="s">
        <v>3</v>
      </c>
      <c r="O391" s="4">
        <v>-1</v>
      </c>
      <c r="P391" s="4"/>
      <c r="Q391" s="4"/>
      <c r="R391" s="4"/>
      <c r="S391" s="4"/>
      <c r="T391" s="4"/>
      <c r="U391" s="4"/>
      <c r="V391" s="4"/>
      <c r="W391" s="4">
        <v>182.77600000000001</v>
      </c>
      <c r="X391" s="4">
        <v>1</v>
      </c>
      <c r="Y391" s="4">
        <v>182.77600000000001</v>
      </c>
      <c r="Z391" s="4"/>
      <c r="AA391" s="4"/>
      <c r="AB391" s="4"/>
    </row>
    <row r="392" spans="1:88" x14ac:dyDescent="0.2">
      <c r="A392" s="4">
        <v>50</v>
      </c>
      <c r="B392" s="4">
        <v>0</v>
      </c>
      <c r="C392" s="4">
        <v>0</v>
      </c>
      <c r="D392" s="4">
        <v>1</v>
      </c>
      <c r="E392" s="4">
        <v>208</v>
      </c>
      <c r="F392" s="4">
        <f>Source!V369</f>
        <v>0</v>
      </c>
      <c r="G392" s="4" t="s">
        <v>128</v>
      </c>
      <c r="H392" s="4" t="s">
        <v>129</v>
      </c>
      <c r="I392" s="4"/>
      <c r="J392" s="4"/>
      <c r="K392" s="4">
        <v>208</v>
      </c>
      <c r="L392" s="4">
        <v>22</v>
      </c>
      <c r="M392" s="4">
        <v>3</v>
      </c>
      <c r="N392" s="4" t="s">
        <v>3</v>
      </c>
      <c r="O392" s="4">
        <v>-1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88" x14ac:dyDescent="0.2">
      <c r="A393" s="4">
        <v>50</v>
      </c>
      <c r="B393" s="4">
        <v>0</v>
      </c>
      <c r="C393" s="4">
        <v>0</v>
      </c>
      <c r="D393" s="4">
        <v>1</v>
      </c>
      <c r="E393" s="4">
        <v>209</v>
      </c>
      <c r="F393" s="4">
        <f>ROUND(Source!W369,O393)</f>
        <v>0</v>
      </c>
      <c r="G393" s="4" t="s">
        <v>130</v>
      </c>
      <c r="H393" s="4" t="s">
        <v>131</v>
      </c>
      <c r="I393" s="4"/>
      <c r="J393" s="4"/>
      <c r="K393" s="4">
        <v>209</v>
      </c>
      <c r="L393" s="4">
        <v>23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88" x14ac:dyDescent="0.2">
      <c r="A394" s="4">
        <v>50</v>
      </c>
      <c r="B394" s="4">
        <v>0</v>
      </c>
      <c r="C394" s="4">
        <v>0</v>
      </c>
      <c r="D394" s="4">
        <v>1</v>
      </c>
      <c r="E394" s="4">
        <v>233</v>
      </c>
      <c r="F394" s="4">
        <f>ROUND(Source!BD369,O394)</f>
        <v>0</v>
      </c>
      <c r="G394" s="4" t="s">
        <v>132</v>
      </c>
      <c r="H394" s="4" t="s">
        <v>133</v>
      </c>
      <c r="I394" s="4"/>
      <c r="J394" s="4"/>
      <c r="K394" s="4">
        <v>233</v>
      </c>
      <c r="L394" s="4">
        <v>24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88" x14ac:dyDescent="0.2">
      <c r="A395" s="4">
        <v>50</v>
      </c>
      <c r="B395" s="4">
        <v>0</v>
      </c>
      <c r="C395" s="4">
        <v>0</v>
      </c>
      <c r="D395" s="4">
        <v>1</v>
      </c>
      <c r="E395" s="4">
        <v>210</v>
      </c>
      <c r="F395" s="4">
        <f>ROUND(Source!X369,O395)</f>
        <v>89536.94</v>
      </c>
      <c r="G395" s="4" t="s">
        <v>134</v>
      </c>
      <c r="H395" s="4" t="s">
        <v>135</v>
      </c>
      <c r="I395" s="4"/>
      <c r="J395" s="4"/>
      <c r="K395" s="4">
        <v>210</v>
      </c>
      <c r="L395" s="4">
        <v>25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78704.53</v>
      </c>
      <c r="X395" s="4">
        <v>1</v>
      </c>
      <c r="Y395" s="4">
        <v>78704.53</v>
      </c>
      <c r="Z395" s="4"/>
      <c r="AA395" s="4"/>
      <c r="AB395" s="4"/>
    </row>
    <row r="396" spans="1:88" x14ac:dyDescent="0.2">
      <c r="A396" s="4">
        <v>50</v>
      </c>
      <c r="B396" s="4">
        <v>0</v>
      </c>
      <c r="C396" s="4">
        <v>0</v>
      </c>
      <c r="D396" s="4">
        <v>1</v>
      </c>
      <c r="E396" s="4">
        <v>211</v>
      </c>
      <c r="F396" s="4">
        <f>ROUND(Source!Y369,O396)</f>
        <v>12791</v>
      </c>
      <c r="G396" s="4" t="s">
        <v>136</v>
      </c>
      <c r="H396" s="4" t="s">
        <v>137</v>
      </c>
      <c r="I396" s="4"/>
      <c r="J396" s="4"/>
      <c r="K396" s="4">
        <v>211</v>
      </c>
      <c r="L396" s="4">
        <v>26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11243.51</v>
      </c>
      <c r="X396" s="4">
        <v>1</v>
      </c>
      <c r="Y396" s="4">
        <v>11243.51</v>
      </c>
      <c r="Z396" s="4"/>
      <c r="AA396" s="4"/>
      <c r="AB396" s="4"/>
    </row>
    <row r="397" spans="1:88" x14ac:dyDescent="0.2">
      <c r="A397" s="4">
        <v>50</v>
      </c>
      <c r="B397" s="4">
        <v>0</v>
      </c>
      <c r="C397" s="4">
        <v>0</v>
      </c>
      <c r="D397" s="4">
        <v>1</v>
      </c>
      <c r="E397" s="4">
        <v>224</v>
      </c>
      <c r="F397" s="4">
        <f>ROUND(Source!AR369,O397)</f>
        <v>268949.53000000003</v>
      </c>
      <c r="G397" s="4" t="s">
        <v>138</v>
      </c>
      <c r="H397" s="4" t="s">
        <v>139</v>
      </c>
      <c r="I397" s="4"/>
      <c r="J397" s="4"/>
      <c r="K397" s="4">
        <v>224</v>
      </c>
      <c r="L397" s="4">
        <v>27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239887.28</v>
      </c>
      <c r="X397" s="4">
        <v>1</v>
      </c>
      <c r="Y397" s="4">
        <v>239887.28</v>
      </c>
      <c r="Z397" s="4"/>
      <c r="AA397" s="4"/>
      <c r="AB397" s="4"/>
    </row>
    <row r="399" spans="1:88" x14ac:dyDescent="0.2">
      <c r="A399" s="1">
        <v>4</v>
      </c>
      <c r="B399" s="1">
        <v>1</v>
      </c>
      <c r="C399" s="1"/>
      <c r="D399" s="1">
        <f>ROW(A559)</f>
        <v>559</v>
      </c>
      <c r="E399" s="1"/>
      <c r="F399" s="1" t="s">
        <v>12</v>
      </c>
      <c r="G399" s="1" t="s">
        <v>278</v>
      </c>
      <c r="H399" s="1" t="s">
        <v>3</v>
      </c>
      <c r="I399" s="1">
        <v>0</v>
      </c>
      <c r="J399" s="1"/>
      <c r="K399" s="1">
        <v>0</v>
      </c>
      <c r="L399" s="1"/>
      <c r="M399" s="1" t="s">
        <v>3</v>
      </c>
      <c r="N399" s="1"/>
      <c r="O399" s="1"/>
      <c r="P399" s="1"/>
      <c r="Q399" s="1"/>
      <c r="R399" s="1"/>
      <c r="S399" s="1">
        <v>0</v>
      </c>
      <c r="T399" s="1"/>
      <c r="U399" s="1" t="s">
        <v>3</v>
      </c>
      <c r="V399" s="1">
        <v>0</v>
      </c>
      <c r="W399" s="1"/>
      <c r="X399" s="1"/>
      <c r="Y399" s="1"/>
      <c r="Z399" s="1"/>
      <c r="AA399" s="1"/>
      <c r="AB399" s="1" t="s">
        <v>3</v>
      </c>
      <c r="AC399" s="1" t="s">
        <v>3</v>
      </c>
      <c r="AD399" s="1" t="s">
        <v>3</v>
      </c>
      <c r="AE399" s="1" t="s">
        <v>3</v>
      </c>
      <c r="AF399" s="1" t="s">
        <v>3</v>
      </c>
      <c r="AG399" s="1" t="s">
        <v>3</v>
      </c>
      <c r="AH399" s="1"/>
      <c r="AI399" s="1"/>
      <c r="AJ399" s="1"/>
      <c r="AK399" s="1"/>
      <c r="AL399" s="1"/>
      <c r="AM399" s="1"/>
      <c r="AN399" s="1"/>
      <c r="AO399" s="1"/>
      <c r="AP399" s="1" t="s">
        <v>3</v>
      </c>
      <c r="AQ399" s="1" t="s">
        <v>3</v>
      </c>
      <c r="AR399" s="1" t="s">
        <v>3</v>
      </c>
      <c r="AS399" s="1"/>
      <c r="AT399" s="1"/>
      <c r="AU399" s="1"/>
      <c r="AV399" s="1"/>
      <c r="AW399" s="1"/>
      <c r="AX399" s="1"/>
      <c r="AY399" s="1"/>
      <c r="AZ399" s="1" t="s">
        <v>3</v>
      </c>
      <c r="BA399" s="1"/>
      <c r="BB399" s="1" t="s">
        <v>3</v>
      </c>
      <c r="BC399" s="1" t="s">
        <v>3</v>
      </c>
      <c r="BD399" s="1" t="s">
        <v>3</v>
      </c>
      <c r="BE399" s="1" t="s">
        <v>3</v>
      </c>
      <c r="BF399" s="1" t="s">
        <v>3</v>
      </c>
      <c r="BG399" s="1" t="s">
        <v>3</v>
      </c>
      <c r="BH399" s="1" t="s">
        <v>3</v>
      </c>
      <c r="BI399" s="1" t="s">
        <v>3</v>
      </c>
      <c r="BJ399" s="1" t="s">
        <v>3</v>
      </c>
      <c r="BK399" s="1" t="s">
        <v>3</v>
      </c>
      <c r="BL399" s="1" t="s">
        <v>3</v>
      </c>
      <c r="BM399" s="1" t="s">
        <v>3</v>
      </c>
      <c r="BN399" s="1" t="s">
        <v>3</v>
      </c>
      <c r="BO399" s="1" t="s">
        <v>3</v>
      </c>
      <c r="BP399" s="1" t="s">
        <v>3</v>
      </c>
      <c r="BQ399" s="1"/>
      <c r="BR399" s="1"/>
      <c r="BS399" s="1"/>
      <c r="BT399" s="1"/>
      <c r="BU399" s="1"/>
      <c r="BV399" s="1"/>
      <c r="BW399" s="1"/>
      <c r="BX399" s="1">
        <v>0</v>
      </c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>
        <v>0</v>
      </c>
    </row>
    <row r="401" spans="1:245" x14ac:dyDescent="0.2">
      <c r="A401" s="2">
        <v>52</v>
      </c>
      <c r="B401" s="2">
        <f t="shared" ref="B401:G401" si="297">B559</f>
        <v>1</v>
      </c>
      <c r="C401" s="2">
        <f t="shared" si="297"/>
        <v>4</v>
      </c>
      <c r="D401" s="2">
        <f t="shared" si="297"/>
        <v>399</v>
      </c>
      <c r="E401" s="2">
        <f t="shared" si="297"/>
        <v>0</v>
      </c>
      <c r="F401" s="2" t="str">
        <f t="shared" si="297"/>
        <v>Новый раздел</v>
      </c>
      <c r="G401" s="2" t="str">
        <f t="shared" si="297"/>
        <v>Туалетный модуль 2 кабины с сололифтами (1 шт.)</v>
      </c>
      <c r="H401" s="2"/>
      <c r="I401" s="2"/>
      <c r="J401" s="2"/>
      <c r="K401" s="2"/>
      <c r="L401" s="2"/>
      <c r="M401" s="2"/>
      <c r="N401" s="2"/>
      <c r="O401" s="2">
        <f t="shared" ref="O401:AT401" si="298">O559</f>
        <v>46400.18</v>
      </c>
      <c r="P401" s="2">
        <f t="shared" si="298"/>
        <v>6417.58</v>
      </c>
      <c r="Q401" s="2">
        <f t="shared" si="298"/>
        <v>2102.5500000000002</v>
      </c>
      <c r="R401" s="2">
        <f t="shared" si="298"/>
        <v>1315.61</v>
      </c>
      <c r="S401" s="2">
        <f t="shared" si="298"/>
        <v>37880.050000000003</v>
      </c>
      <c r="T401" s="2">
        <f t="shared" si="298"/>
        <v>0</v>
      </c>
      <c r="U401" s="2">
        <f t="shared" si="298"/>
        <v>61.745800000000003</v>
      </c>
      <c r="V401" s="2">
        <f t="shared" si="298"/>
        <v>0</v>
      </c>
      <c r="W401" s="2">
        <f t="shared" si="298"/>
        <v>0</v>
      </c>
      <c r="X401" s="2">
        <f t="shared" si="298"/>
        <v>26516.03</v>
      </c>
      <c r="Y401" s="2">
        <f t="shared" si="298"/>
        <v>3787.98</v>
      </c>
      <c r="Z401" s="2">
        <f t="shared" si="298"/>
        <v>0</v>
      </c>
      <c r="AA401" s="2">
        <f t="shared" si="298"/>
        <v>0</v>
      </c>
      <c r="AB401" s="2">
        <f t="shared" si="298"/>
        <v>0</v>
      </c>
      <c r="AC401" s="2">
        <f t="shared" si="298"/>
        <v>0</v>
      </c>
      <c r="AD401" s="2">
        <f t="shared" si="298"/>
        <v>0</v>
      </c>
      <c r="AE401" s="2">
        <f t="shared" si="298"/>
        <v>0</v>
      </c>
      <c r="AF401" s="2">
        <f t="shared" si="298"/>
        <v>0</v>
      </c>
      <c r="AG401" s="2">
        <f t="shared" si="298"/>
        <v>0</v>
      </c>
      <c r="AH401" s="2">
        <f t="shared" si="298"/>
        <v>0</v>
      </c>
      <c r="AI401" s="2">
        <f t="shared" si="298"/>
        <v>0</v>
      </c>
      <c r="AJ401" s="2">
        <f t="shared" si="298"/>
        <v>0</v>
      </c>
      <c r="AK401" s="2">
        <f t="shared" si="298"/>
        <v>0</v>
      </c>
      <c r="AL401" s="2">
        <f t="shared" si="298"/>
        <v>0</v>
      </c>
      <c r="AM401" s="2">
        <f t="shared" si="298"/>
        <v>0</v>
      </c>
      <c r="AN401" s="2">
        <f t="shared" si="298"/>
        <v>0</v>
      </c>
      <c r="AO401" s="2">
        <f t="shared" si="298"/>
        <v>0</v>
      </c>
      <c r="AP401" s="2">
        <f t="shared" si="298"/>
        <v>0</v>
      </c>
      <c r="AQ401" s="2">
        <f t="shared" si="298"/>
        <v>0</v>
      </c>
      <c r="AR401" s="2">
        <f t="shared" si="298"/>
        <v>78125.039999999994</v>
      </c>
      <c r="AS401" s="2">
        <f t="shared" si="298"/>
        <v>0</v>
      </c>
      <c r="AT401" s="2">
        <f t="shared" si="298"/>
        <v>0</v>
      </c>
      <c r="AU401" s="2">
        <f t="shared" ref="AU401:BZ401" si="299">AU559</f>
        <v>78125.039999999994</v>
      </c>
      <c r="AV401" s="2">
        <f t="shared" si="299"/>
        <v>6417.58</v>
      </c>
      <c r="AW401" s="2">
        <f t="shared" si="299"/>
        <v>6417.58</v>
      </c>
      <c r="AX401" s="2">
        <f t="shared" si="299"/>
        <v>0</v>
      </c>
      <c r="AY401" s="2">
        <f t="shared" si="299"/>
        <v>6417.58</v>
      </c>
      <c r="AZ401" s="2">
        <f t="shared" si="299"/>
        <v>0</v>
      </c>
      <c r="BA401" s="2">
        <f t="shared" si="299"/>
        <v>0</v>
      </c>
      <c r="BB401" s="2">
        <f t="shared" si="299"/>
        <v>0</v>
      </c>
      <c r="BC401" s="2">
        <f t="shared" si="299"/>
        <v>0</v>
      </c>
      <c r="BD401" s="2">
        <f t="shared" si="299"/>
        <v>0</v>
      </c>
      <c r="BE401" s="2">
        <f t="shared" si="299"/>
        <v>0</v>
      </c>
      <c r="BF401" s="2">
        <f t="shared" si="299"/>
        <v>0</v>
      </c>
      <c r="BG401" s="2">
        <f t="shared" si="299"/>
        <v>0</v>
      </c>
      <c r="BH401" s="2">
        <f t="shared" si="299"/>
        <v>0</v>
      </c>
      <c r="BI401" s="2">
        <f t="shared" si="299"/>
        <v>0</v>
      </c>
      <c r="BJ401" s="2">
        <f t="shared" si="299"/>
        <v>0</v>
      </c>
      <c r="BK401" s="2">
        <f t="shared" si="299"/>
        <v>0</v>
      </c>
      <c r="BL401" s="2">
        <f t="shared" si="299"/>
        <v>0</v>
      </c>
      <c r="BM401" s="2">
        <f t="shared" si="299"/>
        <v>0</v>
      </c>
      <c r="BN401" s="2">
        <f t="shared" si="299"/>
        <v>0</v>
      </c>
      <c r="BO401" s="2">
        <f t="shared" si="299"/>
        <v>0</v>
      </c>
      <c r="BP401" s="2">
        <f t="shared" si="299"/>
        <v>0</v>
      </c>
      <c r="BQ401" s="2">
        <f t="shared" si="299"/>
        <v>0</v>
      </c>
      <c r="BR401" s="2">
        <f t="shared" si="299"/>
        <v>0</v>
      </c>
      <c r="BS401" s="2">
        <f t="shared" si="299"/>
        <v>0</v>
      </c>
      <c r="BT401" s="2">
        <f t="shared" si="299"/>
        <v>0</v>
      </c>
      <c r="BU401" s="2">
        <f t="shared" si="299"/>
        <v>0</v>
      </c>
      <c r="BV401" s="2">
        <f t="shared" si="299"/>
        <v>0</v>
      </c>
      <c r="BW401" s="2">
        <f t="shared" si="299"/>
        <v>0</v>
      </c>
      <c r="BX401" s="2">
        <f t="shared" si="299"/>
        <v>0</v>
      </c>
      <c r="BY401" s="2">
        <f t="shared" si="299"/>
        <v>0</v>
      </c>
      <c r="BZ401" s="2">
        <f t="shared" si="299"/>
        <v>0</v>
      </c>
      <c r="CA401" s="2">
        <f t="shared" ref="CA401:DF401" si="300">CA559</f>
        <v>0</v>
      </c>
      <c r="CB401" s="2">
        <f t="shared" si="300"/>
        <v>0</v>
      </c>
      <c r="CC401" s="2">
        <f t="shared" si="300"/>
        <v>0</v>
      </c>
      <c r="CD401" s="2">
        <f t="shared" si="300"/>
        <v>0</v>
      </c>
      <c r="CE401" s="2">
        <f t="shared" si="300"/>
        <v>0</v>
      </c>
      <c r="CF401" s="2">
        <f t="shared" si="300"/>
        <v>0</v>
      </c>
      <c r="CG401" s="2">
        <f t="shared" si="300"/>
        <v>0</v>
      </c>
      <c r="CH401" s="2">
        <f t="shared" si="300"/>
        <v>0</v>
      </c>
      <c r="CI401" s="2">
        <f t="shared" si="300"/>
        <v>0</v>
      </c>
      <c r="CJ401" s="2">
        <f t="shared" si="300"/>
        <v>0</v>
      </c>
      <c r="CK401" s="2">
        <f t="shared" si="300"/>
        <v>0</v>
      </c>
      <c r="CL401" s="2">
        <f t="shared" si="300"/>
        <v>0</v>
      </c>
      <c r="CM401" s="2">
        <f t="shared" si="300"/>
        <v>0</v>
      </c>
      <c r="CN401" s="2">
        <f t="shared" si="300"/>
        <v>0</v>
      </c>
      <c r="CO401" s="2">
        <f t="shared" si="300"/>
        <v>0</v>
      </c>
      <c r="CP401" s="2">
        <f t="shared" si="300"/>
        <v>0</v>
      </c>
      <c r="CQ401" s="2">
        <f t="shared" si="300"/>
        <v>0</v>
      </c>
      <c r="CR401" s="2">
        <f t="shared" si="300"/>
        <v>0</v>
      </c>
      <c r="CS401" s="2">
        <f t="shared" si="300"/>
        <v>0</v>
      </c>
      <c r="CT401" s="2">
        <f t="shared" si="300"/>
        <v>0</v>
      </c>
      <c r="CU401" s="2">
        <f t="shared" si="300"/>
        <v>0</v>
      </c>
      <c r="CV401" s="2">
        <f t="shared" si="300"/>
        <v>0</v>
      </c>
      <c r="CW401" s="2">
        <f t="shared" si="300"/>
        <v>0</v>
      </c>
      <c r="CX401" s="2">
        <f t="shared" si="300"/>
        <v>0</v>
      </c>
      <c r="CY401" s="2">
        <f t="shared" si="300"/>
        <v>0</v>
      </c>
      <c r="CZ401" s="2">
        <f t="shared" si="300"/>
        <v>0</v>
      </c>
      <c r="DA401" s="2">
        <f t="shared" si="300"/>
        <v>0</v>
      </c>
      <c r="DB401" s="2">
        <f t="shared" si="300"/>
        <v>0</v>
      </c>
      <c r="DC401" s="2">
        <f t="shared" si="300"/>
        <v>0</v>
      </c>
      <c r="DD401" s="2">
        <f t="shared" si="300"/>
        <v>0</v>
      </c>
      <c r="DE401" s="2">
        <f t="shared" si="300"/>
        <v>0</v>
      </c>
      <c r="DF401" s="2">
        <f t="shared" si="300"/>
        <v>0</v>
      </c>
      <c r="DG401" s="3">
        <f t="shared" ref="DG401:EL401" si="301">DG559</f>
        <v>0</v>
      </c>
      <c r="DH401" s="3">
        <f t="shared" si="301"/>
        <v>0</v>
      </c>
      <c r="DI401" s="3">
        <f t="shared" si="301"/>
        <v>0</v>
      </c>
      <c r="DJ401" s="3">
        <f t="shared" si="301"/>
        <v>0</v>
      </c>
      <c r="DK401" s="3">
        <f t="shared" si="301"/>
        <v>0</v>
      </c>
      <c r="DL401" s="3">
        <f t="shared" si="301"/>
        <v>0</v>
      </c>
      <c r="DM401" s="3">
        <f t="shared" si="301"/>
        <v>0</v>
      </c>
      <c r="DN401" s="3">
        <f t="shared" si="301"/>
        <v>0</v>
      </c>
      <c r="DO401" s="3">
        <f t="shared" si="301"/>
        <v>0</v>
      </c>
      <c r="DP401" s="3">
        <f t="shared" si="301"/>
        <v>0</v>
      </c>
      <c r="DQ401" s="3">
        <f t="shared" si="301"/>
        <v>0</v>
      </c>
      <c r="DR401" s="3">
        <f t="shared" si="301"/>
        <v>0</v>
      </c>
      <c r="DS401" s="3">
        <f t="shared" si="301"/>
        <v>0</v>
      </c>
      <c r="DT401" s="3">
        <f t="shared" si="301"/>
        <v>0</v>
      </c>
      <c r="DU401" s="3">
        <f t="shared" si="301"/>
        <v>0</v>
      </c>
      <c r="DV401" s="3">
        <f t="shared" si="301"/>
        <v>0</v>
      </c>
      <c r="DW401" s="3">
        <f t="shared" si="301"/>
        <v>0</v>
      </c>
      <c r="DX401" s="3">
        <f t="shared" si="301"/>
        <v>0</v>
      </c>
      <c r="DY401" s="3">
        <f t="shared" si="301"/>
        <v>0</v>
      </c>
      <c r="DZ401" s="3">
        <f t="shared" si="301"/>
        <v>0</v>
      </c>
      <c r="EA401" s="3">
        <f t="shared" si="301"/>
        <v>0</v>
      </c>
      <c r="EB401" s="3">
        <f t="shared" si="301"/>
        <v>0</v>
      </c>
      <c r="EC401" s="3">
        <f t="shared" si="301"/>
        <v>0</v>
      </c>
      <c r="ED401" s="3">
        <f t="shared" si="301"/>
        <v>0</v>
      </c>
      <c r="EE401" s="3">
        <f t="shared" si="301"/>
        <v>0</v>
      </c>
      <c r="EF401" s="3">
        <f t="shared" si="301"/>
        <v>0</v>
      </c>
      <c r="EG401" s="3">
        <f t="shared" si="301"/>
        <v>0</v>
      </c>
      <c r="EH401" s="3">
        <f t="shared" si="301"/>
        <v>0</v>
      </c>
      <c r="EI401" s="3">
        <f t="shared" si="301"/>
        <v>0</v>
      </c>
      <c r="EJ401" s="3">
        <f t="shared" si="301"/>
        <v>0</v>
      </c>
      <c r="EK401" s="3">
        <f t="shared" si="301"/>
        <v>0</v>
      </c>
      <c r="EL401" s="3">
        <f t="shared" si="301"/>
        <v>0</v>
      </c>
      <c r="EM401" s="3">
        <f t="shared" ref="EM401:FR401" si="302">EM559</f>
        <v>0</v>
      </c>
      <c r="EN401" s="3">
        <f t="shared" si="302"/>
        <v>0</v>
      </c>
      <c r="EO401" s="3">
        <f t="shared" si="302"/>
        <v>0</v>
      </c>
      <c r="EP401" s="3">
        <f t="shared" si="302"/>
        <v>0</v>
      </c>
      <c r="EQ401" s="3">
        <f t="shared" si="302"/>
        <v>0</v>
      </c>
      <c r="ER401" s="3">
        <f t="shared" si="302"/>
        <v>0</v>
      </c>
      <c r="ES401" s="3">
        <f t="shared" si="302"/>
        <v>0</v>
      </c>
      <c r="ET401" s="3">
        <f t="shared" si="302"/>
        <v>0</v>
      </c>
      <c r="EU401" s="3">
        <f t="shared" si="302"/>
        <v>0</v>
      </c>
      <c r="EV401" s="3">
        <f t="shared" si="302"/>
        <v>0</v>
      </c>
      <c r="EW401" s="3">
        <f t="shared" si="302"/>
        <v>0</v>
      </c>
      <c r="EX401" s="3">
        <f t="shared" si="302"/>
        <v>0</v>
      </c>
      <c r="EY401" s="3">
        <f t="shared" si="302"/>
        <v>0</v>
      </c>
      <c r="EZ401" s="3">
        <f t="shared" si="302"/>
        <v>0</v>
      </c>
      <c r="FA401" s="3">
        <f t="shared" si="302"/>
        <v>0</v>
      </c>
      <c r="FB401" s="3">
        <f t="shared" si="302"/>
        <v>0</v>
      </c>
      <c r="FC401" s="3">
        <f t="shared" si="302"/>
        <v>0</v>
      </c>
      <c r="FD401" s="3">
        <f t="shared" si="302"/>
        <v>0</v>
      </c>
      <c r="FE401" s="3">
        <f t="shared" si="302"/>
        <v>0</v>
      </c>
      <c r="FF401" s="3">
        <f t="shared" si="302"/>
        <v>0</v>
      </c>
      <c r="FG401" s="3">
        <f t="shared" si="302"/>
        <v>0</v>
      </c>
      <c r="FH401" s="3">
        <f t="shared" si="302"/>
        <v>0</v>
      </c>
      <c r="FI401" s="3">
        <f t="shared" si="302"/>
        <v>0</v>
      </c>
      <c r="FJ401" s="3">
        <f t="shared" si="302"/>
        <v>0</v>
      </c>
      <c r="FK401" s="3">
        <f t="shared" si="302"/>
        <v>0</v>
      </c>
      <c r="FL401" s="3">
        <f t="shared" si="302"/>
        <v>0</v>
      </c>
      <c r="FM401" s="3">
        <f t="shared" si="302"/>
        <v>0</v>
      </c>
      <c r="FN401" s="3">
        <f t="shared" si="302"/>
        <v>0</v>
      </c>
      <c r="FO401" s="3">
        <f t="shared" si="302"/>
        <v>0</v>
      </c>
      <c r="FP401" s="3">
        <f t="shared" si="302"/>
        <v>0</v>
      </c>
      <c r="FQ401" s="3">
        <f t="shared" si="302"/>
        <v>0</v>
      </c>
      <c r="FR401" s="3">
        <f t="shared" si="302"/>
        <v>0</v>
      </c>
      <c r="FS401" s="3">
        <f t="shared" ref="FS401:GX401" si="303">FS559</f>
        <v>0</v>
      </c>
      <c r="FT401" s="3">
        <f t="shared" si="303"/>
        <v>0</v>
      </c>
      <c r="FU401" s="3">
        <f t="shared" si="303"/>
        <v>0</v>
      </c>
      <c r="FV401" s="3">
        <f t="shared" si="303"/>
        <v>0</v>
      </c>
      <c r="FW401" s="3">
        <f t="shared" si="303"/>
        <v>0</v>
      </c>
      <c r="FX401" s="3">
        <f t="shared" si="303"/>
        <v>0</v>
      </c>
      <c r="FY401" s="3">
        <f t="shared" si="303"/>
        <v>0</v>
      </c>
      <c r="FZ401" s="3">
        <f t="shared" si="303"/>
        <v>0</v>
      </c>
      <c r="GA401" s="3">
        <f t="shared" si="303"/>
        <v>0</v>
      </c>
      <c r="GB401" s="3">
        <f t="shared" si="303"/>
        <v>0</v>
      </c>
      <c r="GC401" s="3">
        <f t="shared" si="303"/>
        <v>0</v>
      </c>
      <c r="GD401" s="3">
        <f t="shared" si="303"/>
        <v>0</v>
      </c>
      <c r="GE401" s="3">
        <f t="shared" si="303"/>
        <v>0</v>
      </c>
      <c r="GF401" s="3">
        <f t="shared" si="303"/>
        <v>0</v>
      </c>
      <c r="GG401" s="3">
        <f t="shared" si="303"/>
        <v>0</v>
      </c>
      <c r="GH401" s="3">
        <f t="shared" si="303"/>
        <v>0</v>
      </c>
      <c r="GI401" s="3">
        <f t="shared" si="303"/>
        <v>0</v>
      </c>
      <c r="GJ401" s="3">
        <f t="shared" si="303"/>
        <v>0</v>
      </c>
      <c r="GK401" s="3">
        <f t="shared" si="303"/>
        <v>0</v>
      </c>
      <c r="GL401" s="3">
        <f t="shared" si="303"/>
        <v>0</v>
      </c>
      <c r="GM401" s="3">
        <f t="shared" si="303"/>
        <v>0</v>
      </c>
      <c r="GN401" s="3">
        <f t="shared" si="303"/>
        <v>0</v>
      </c>
      <c r="GO401" s="3">
        <f t="shared" si="303"/>
        <v>0</v>
      </c>
      <c r="GP401" s="3">
        <f t="shared" si="303"/>
        <v>0</v>
      </c>
      <c r="GQ401" s="3">
        <f t="shared" si="303"/>
        <v>0</v>
      </c>
      <c r="GR401" s="3">
        <f t="shared" si="303"/>
        <v>0</v>
      </c>
      <c r="GS401" s="3">
        <f t="shared" si="303"/>
        <v>0</v>
      </c>
      <c r="GT401" s="3">
        <f t="shared" si="303"/>
        <v>0</v>
      </c>
      <c r="GU401" s="3">
        <f t="shared" si="303"/>
        <v>0</v>
      </c>
      <c r="GV401" s="3">
        <f t="shared" si="303"/>
        <v>0</v>
      </c>
      <c r="GW401" s="3">
        <f t="shared" si="303"/>
        <v>0</v>
      </c>
      <c r="GX401" s="3">
        <f t="shared" si="303"/>
        <v>0</v>
      </c>
    </row>
    <row r="403" spans="1:245" x14ac:dyDescent="0.2">
      <c r="A403" s="1">
        <v>5</v>
      </c>
      <c r="B403" s="1">
        <v>1</v>
      </c>
      <c r="C403" s="1"/>
      <c r="D403" s="1">
        <f>ROW(A426)</f>
        <v>426</v>
      </c>
      <c r="E403" s="1"/>
      <c r="F403" s="1" t="s">
        <v>14</v>
      </c>
      <c r="G403" s="1" t="s">
        <v>15</v>
      </c>
      <c r="H403" s="1" t="s">
        <v>3</v>
      </c>
      <c r="I403" s="1">
        <v>0</v>
      </c>
      <c r="J403" s="1"/>
      <c r="K403" s="1">
        <v>-1</v>
      </c>
      <c r="L403" s="1"/>
      <c r="M403" s="1" t="s">
        <v>3</v>
      </c>
      <c r="N403" s="1"/>
      <c r="O403" s="1"/>
      <c r="P403" s="1"/>
      <c r="Q403" s="1"/>
      <c r="R403" s="1"/>
      <c r="S403" s="1">
        <v>0</v>
      </c>
      <c r="T403" s="1"/>
      <c r="U403" s="1" t="s">
        <v>3</v>
      </c>
      <c r="V403" s="1">
        <v>0</v>
      </c>
      <c r="W403" s="1"/>
      <c r="X403" s="1"/>
      <c r="Y403" s="1"/>
      <c r="Z403" s="1"/>
      <c r="AA403" s="1"/>
      <c r="AB403" s="1" t="s">
        <v>3</v>
      </c>
      <c r="AC403" s="1" t="s">
        <v>3</v>
      </c>
      <c r="AD403" s="1" t="s">
        <v>3</v>
      </c>
      <c r="AE403" s="1" t="s">
        <v>3</v>
      </c>
      <c r="AF403" s="1" t="s">
        <v>3</v>
      </c>
      <c r="AG403" s="1" t="s">
        <v>3</v>
      </c>
      <c r="AH403" s="1"/>
      <c r="AI403" s="1"/>
      <c r="AJ403" s="1"/>
      <c r="AK403" s="1"/>
      <c r="AL403" s="1"/>
      <c r="AM403" s="1"/>
      <c r="AN403" s="1"/>
      <c r="AO403" s="1"/>
      <c r="AP403" s="1" t="s">
        <v>3</v>
      </c>
      <c r="AQ403" s="1" t="s">
        <v>3</v>
      </c>
      <c r="AR403" s="1" t="s">
        <v>3</v>
      </c>
      <c r="AS403" s="1"/>
      <c r="AT403" s="1"/>
      <c r="AU403" s="1"/>
      <c r="AV403" s="1"/>
      <c r="AW403" s="1"/>
      <c r="AX403" s="1"/>
      <c r="AY403" s="1"/>
      <c r="AZ403" s="1" t="s">
        <v>3</v>
      </c>
      <c r="BA403" s="1"/>
      <c r="BB403" s="1" t="s">
        <v>3</v>
      </c>
      <c r="BC403" s="1" t="s">
        <v>3</v>
      </c>
      <c r="BD403" s="1" t="s">
        <v>3</v>
      </c>
      <c r="BE403" s="1" t="s">
        <v>3</v>
      </c>
      <c r="BF403" s="1" t="s">
        <v>3</v>
      </c>
      <c r="BG403" s="1" t="s">
        <v>3</v>
      </c>
      <c r="BH403" s="1" t="s">
        <v>3</v>
      </c>
      <c r="BI403" s="1" t="s">
        <v>3</v>
      </c>
      <c r="BJ403" s="1" t="s">
        <v>3</v>
      </c>
      <c r="BK403" s="1" t="s">
        <v>3</v>
      </c>
      <c r="BL403" s="1" t="s">
        <v>3</v>
      </c>
      <c r="BM403" s="1" t="s">
        <v>3</v>
      </c>
      <c r="BN403" s="1" t="s">
        <v>3</v>
      </c>
      <c r="BO403" s="1" t="s">
        <v>3</v>
      </c>
      <c r="BP403" s="1" t="s">
        <v>3</v>
      </c>
      <c r="BQ403" s="1"/>
      <c r="BR403" s="1"/>
      <c r="BS403" s="1"/>
      <c r="BT403" s="1"/>
      <c r="BU403" s="1"/>
      <c r="BV403" s="1"/>
      <c r="BW403" s="1"/>
      <c r="BX403" s="1">
        <v>0</v>
      </c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>
        <v>0</v>
      </c>
    </row>
    <row r="405" spans="1:245" x14ac:dyDescent="0.2">
      <c r="A405" s="2">
        <v>52</v>
      </c>
      <c r="B405" s="2">
        <f t="shared" ref="B405:G405" si="304">B426</f>
        <v>1</v>
      </c>
      <c r="C405" s="2">
        <f t="shared" si="304"/>
        <v>5</v>
      </c>
      <c r="D405" s="2">
        <f t="shared" si="304"/>
        <v>403</v>
      </c>
      <c r="E405" s="2">
        <f t="shared" si="304"/>
        <v>0</v>
      </c>
      <c r="F405" s="2" t="str">
        <f t="shared" si="304"/>
        <v>Новый подраздел</v>
      </c>
      <c r="G405" s="2" t="str">
        <f t="shared" si="304"/>
        <v>Оборудование водоснабжения и водоотведения</v>
      </c>
      <c r="H405" s="2"/>
      <c r="I405" s="2"/>
      <c r="J405" s="2"/>
      <c r="K405" s="2"/>
      <c r="L405" s="2"/>
      <c r="M405" s="2"/>
      <c r="N405" s="2"/>
      <c r="O405" s="2">
        <f t="shared" ref="O405:AT405" si="305">O426</f>
        <v>4063.49</v>
      </c>
      <c r="P405" s="2">
        <f t="shared" si="305"/>
        <v>35.93</v>
      </c>
      <c r="Q405" s="2">
        <f t="shared" si="305"/>
        <v>158.84</v>
      </c>
      <c r="R405" s="2">
        <f t="shared" si="305"/>
        <v>99.16</v>
      </c>
      <c r="S405" s="2">
        <f t="shared" si="305"/>
        <v>3868.72</v>
      </c>
      <c r="T405" s="2">
        <f t="shared" si="305"/>
        <v>0</v>
      </c>
      <c r="U405" s="2">
        <f t="shared" si="305"/>
        <v>7.3698000000000006</v>
      </c>
      <c r="V405" s="2">
        <f t="shared" si="305"/>
        <v>0</v>
      </c>
      <c r="W405" s="2">
        <f t="shared" si="305"/>
        <v>0</v>
      </c>
      <c r="X405" s="2">
        <f t="shared" si="305"/>
        <v>2708.11</v>
      </c>
      <c r="Y405" s="2">
        <f t="shared" si="305"/>
        <v>386.86</v>
      </c>
      <c r="Z405" s="2">
        <f t="shared" si="305"/>
        <v>0</v>
      </c>
      <c r="AA405" s="2">
        <f t="shared" si="305"/>
        <v>0</v>
      </c>
      <c r="AB405" s="2">
        <f t="shared" si="305"/>
        <v>4063.49</v>
      </c>
      <c r="AC405" s="2">
        <f t="shared" si="305"/>
        <v>35.93</v>
      </c>
      <c r="AD405" s="2">
        <f t="shared" si="305"/>
        <v>158.84</v>
      </c>
      <c r="AE405" s="2">
        <f t="shared" si="305"/>
        <v>99.16</v>
      </c>
      <c r="AF405" s="2">
        <f t="shared" si="305"/>
        <v>3868.72</v>
      </c>
      <c r="AG405" s="2">
        <f t="shared" si="305"/>
        <v>0</v>
      </c>
      <c r="AH405" s="2">
        <f t="shared" si="305"/>
        <v>7.3698000000000006</v>
      </c>
      <c r="AI405" s="2">
        <f t="shared" si="305"/>
        <v>0</v>
      </c>
      <c r="AJ405" s="2">
        <f t="shared" si="305"/>
        <v>0</v>
      </c>
      <c r="AK405" s="2">
        <f t="shared" si="305"/>
        <v>2708.11</v>
      </c>
      <c r="AL405" s="2">
        <f t="shared" si="305"/>
        <v>386.86</v>
      </c>
      <c r="AM405" s="2">
        <f t="shared" si="305"/>
        <v>0</v>
      </c>
      <c r="AN405" s="2">
        <f t="shared" si="305"/>
        <v>0</v>
      </c>
      <c r="AO405" s="2">
        <f t="shared" si="305"/>
        <v>0</v>
      </c>
      <c r="AP405" s="2">
        <f t="shared" si="305"/>
        <v>0</v>
      </c>
      <c r="AQ405" s="2">
        <f t="shared" si="305"/>
        <v>0</v>
      </c>
      <c r="AR405" s="2">
        <f t="shared" si="305"/>
        <v>7265.55</v>
      </c>
      <c r="AS405" s="2">
        <f t="shared" si="305"/>
        <v>0</v>
      </c>
      <c r="AT405" s="2">
        <f t="shared" si="305"/>
        <v>0</v>
      </c>
      <c r="AU405" s="2">
        <f t="shared" ref="AU405:BZ405" si="306">AU426</f>
        <v>7265.55</v>
      </c>
      <c r="AV405" s="2">
        <f t="shared" si="306"/>
        <v>35.93</v>
      </c>
      <c r="AW405" s="2">
        <f t="shared" si="306"/>
        <v>35.93</v>
      </c>
      <c r="AX405" s="2">
        <f t="shared" si="306"/>
        <v>0</v>
      </c>
      <c r="AY405" s="2">
        <f t="shared" si="306"/>
        <v>35.93</v>
      </c>
      <c r="AZ405" s="2">
        <f t="shared" si="306"/>
        <v>0</v>
      </c>
      <c r="BA405" s="2">
        <f t="shared" si="306"/>
        <v>0</v>
      </c>
      <c r="BB405" s="2">
        <f t="shared" si="306"/>
        <v>0</v>
      </c>
      <c r="BC405" s="2">
        <f t="shared" si="306"/>
        <v>0</v>
      </c>
      <c r="BD405" s="2">
        <f t="shared" si="306"/>
        <v>0</v>
      </c>
      <c r="BE405" s="2">
        <f t="shared" si="306"/>
        <v>0</v>
      </c>
      <c r="BF405" s="2">
        <f t="shared" si="306"/>
        <v>0</v>
      </c>
      <c r="BG405" s="2">
        <f t="shared" si="306"/>
        <v>0</v>
      </c>
      <c r="BH405" s="2">
        <f t="shared" si="306"/>
        <v>0</v>
      </c>
      <c r="BI405" s="2">
        <f t="shared" si="306"/>
        <v>0</v>
      </c>
      <c r="BJ405" s="2">
        <f t="shared" si="306"/>
        <v>0</v>
      </c>
      <c r="BK405" s="2">
        <f t="shared" si="306"/>
        <v>0</v>
      </c>
      <c r="BL405" s="2">
        <f t="shared" si="306"/>
        <v>0</v>
      </c>
      <c r="BM405" s="2">
        <f t="shared" si="306"/>
        <v>0</v>
      </c>
      <c r="BN405" s="2">
        <f t="shared" si="306"/>
        <v>0</v>
      </c>
      <c r="BO405" s="2">
        <f t="shared" si="306"/>
        <v>0</v>
      </c>
      <c r="BP405" s="2">
        <f t="shared" si="306"/>
        <v>0</v>
      </c>
      <c r="BQ405" s="2">
        <f t="shared" si="306"/>
        <v>0</v>
      </c>
      <c r="BR405" s="2">
        <f t="shared" si="306"/>
        <v>0</v>
      </c>
      <c r="BS405" s="2">
        <f t="shared" si="306"/>
        <v>0</v>
      </c>
      <c r="BT405" s="2">
        <f t="shared" si="306"/>
        <v>0</v>
      </c>
      <c r="BU405" s="2">
        <f t="shared" si="306"/>
        <v>0</v>
      </c>
      <c r="BV405" s="2">
        <f t="shared" si="306"/>
        <v>0</v>
      </c>
      <c r="BW405" s="2">
        <f t="shared" si="306"/>
        <v>0</v>
      </c>
      <c r="BX405" s="2">
        <f t="shared" si="306"/>
        <v>0</v>
      </c>
      <c r="BY405" s="2">
        <f t="shared" si="306"/>
        <v>0</v>
      </c>
      <c r="BZ405" s="2">
        <f t="shared" si="306"/>
        <v>0</v>
      </c>
      <c r="CA405" s="2">
        <f t="shared" ref="CA405:DF405" si="307">CA426</f>
        <v>7265.55</v>
      </c>
      <c r="CB405" s="2">
        <f t="shared" si="307"/>
        <v>0</v>
      </c>
      <c r="CC405" s="2">
        <f t="shared" si="307"/>
        <v>0</v>
      </c>
      <c r="CD405" s="2">
        <f t="shared" si="307"/>
        <v>7265.55</v>
      </c>
      <c r="CE405" s="2">
        <f t="shared" si="307"/>
        <v>35.93</v>
      </c>
      <c r="CF405" s="2">
        <f t="shared" si="307"/>
        <v>35.93</v>
      </c>
      <c r="CG405" s="2">
        <f t="shared" si="307"/>
        <v>0</v>
      </c>
      <c r="CH405" s="2">
        <f t="shared" si="307"/>
        <v>35.93</v>
      </c>
      <c r="CI405" s="2">
        <f t="shared" si="307"/>
        <v>0</v>
      </c>
      <c r="CJ405" s="2">
        <f t="shared" si="307"/>
        <v>0</v>
      </c>
      <c r="CK405" s="2">
        <f t="shared" si="307"/>
        <v>0</v>
      </c>
      <c r="CL405" s="2">
        <f t="shared" si="307"/>
        <v>0</v>
      </c>
      <c r="CM405" s="2">
        <f t="shared" si="307"/>
        <v>0</v>
      </c>
      <c r="CN405" s="2">
        <f t="shared" si="307"/>
        <v>0</v>
      </c>
      <c r="CO405" s="2">
        <f t="shared" si="307"/>
        <v>0</v>
      </c>
      <c r="CP405" s="2">
        <f t="shared" si="307"/>
        <v>0</v>
      </c>
      <c r="CQ405" s="2">
        <f t="shared" si="307"/>
        <v>0</v>
      </c>
      <c r="CR405" s="2">
        <f t="shared" si="307"/>
        <v>0</v>
      </c>
      <c r="CS405" s="2">
        <f t="shared" si="307"/>
        <v>0</v>
      </c>
      <c r="CT405" s="2">
        <f t="shared" si="307"/>
        <v>0</v>
      </c>
      <c r="CU405" s="2">
        <f t="shared" si="307"/>
        <v>0</v>
      </c>
      <c r="CV405" s="2">
        <f t="shared" si="307"/>
        <v>0</v>
      </c>
      <c r="CW405" s="2">
        <f t="shared" si="307"/>
        <v>0</v>
      </c>
      <c r="CX405" s="2">
        <f t="shared" si="307"/>
        <v>0</v>
      </c>
      <c r="CY405" s="2">
        <f t="shared" si="307"/>
        <v>0</v>
      </c>
      <c r="CZ405" s="2">
        <f t="shared" si="307"/>
        <v>0</v>
      </c>
      <c r="DA405" s="2">
        <f t="shared" si="307"/>
        <v>0</v>
      </c>
      <c r="DB405" s="2">
        <f t="shared" si="307"/>
        <v>0</v>
      </c>
      <c r="DC405" s="2">
        <f t="shared" si="307"/>
        <v>0</v>
      </c>
      <c r="DD405" s="2">
        <f t="shared" si="307"/>
        <v>0</v>
      </c>
      <c r="DE405" s="2">
        <f t="shared" si="307"/>
        <v>0</v>
      </c>
      <c r="DF405" s="2">
        <f t="shared" si="307"/>
        <v>0</v>
      </c>
      <c r="DG405" s="3">
        <f t="shared" ref="DG405:EL405" si="308">DG426</f>
        <v>0</v>
      </c>
      <c r="DH405" s="3">
        <f t="shared" si="308"/>
        <v>0</v>
      </c>
      <c r="DI405" s="3">
        <f t="shared" si="308"/>
        <v>0</v>
      </c>
      <c r="DJ405" s="3">
        <f t="shared" si="308"/>
        <v>0</v>
      </c>
      <c r="DK405" s="3">
        <f t="shared" si="308"/>
        <v>0</v>
      </c>
      <c r="DL405" s="3">
        <f t="shared" si="308"/>
        <v>0</v>
      </c>
      <c r="DM405" s="3">
        <f t="shared" si="308"/>
        <v>0</v>
      </c>
      <c r="DN405" s="3">
        <f t="shared" si="308"/>
        <v>0</v>
      </c>
      <c r="DO405" s="3">
        <f t="shared" si="308"/>
        <v>0</v>
      </c>
      <c r="DP405" s="3">
        <f t="shared" si="308"/>
        <v>0</v>
      </c>
      <c r="DQ405" s="3">
        <f t="shared" si="308"/>
        <v>0</v>
      </c>
      <c r="DR405" s="3">
        <f t="shared" si="308"/>
        <v>0</v>
      </c>
      <c r="DS405" s="3">
        <f t="shared" si="308"/>
        <v>0</v>
      </c>
      <c r="DT405" s="3">
        <f t="shared" si="308"/>
        <v>0</v>
      </c>
      <c r="DU405" s="3">
        <f t="shared" si="308"/>
        <v>0</v>
      </c>
      <c r="DV405" s="3">
        <f t="shared" si="308"/>
        <v>0</v>
      </c>
      <c r="DW405" s="3">
        <f t="shared" si="308"/>
        <v>0</v>
      </c>
      <c r="DX405" s="3">
        <f t="shared" si="308"/>
        <v>0</v>
      </c>
      <c r="DY405" s="3">
        <f t="shared" si="308"/>
        <v>0</v>
      </c>
      <c r="DZ405" s="3">
        <f t="shared" si="308"/>
        <v>0</v>
      </c>
      <c r="EA405" s="3">
        <f t="shared" si="308"/>
        <v>0</v>
      </c>
      <c r="EB405" s="3">
        <f t="shared" si="308"/>
        <v>0</v>
      </c>
      <c r="EC405" s="3">
        <f t="shared" si="308"/>
        <v>0</v>
      </c>
      <c r="ED405" s="3">
        <f t="shared" si="308"/>
        <v>0</v>
      </c>
      <c r="EE405" s="3">
        <f t="shared" si="308"/>
        <v>0</v>
      </c>
      <c r="EF405" s="3">
        <f t="shared" si="308"/>
        <v>0</v>
      </c>
      <c r="EG405" s="3">
        <f t="shared" si="308"/>
        <v>0</v>
      </c>
      <c r="EH405" s="3">
        <f t="shared" si="308"/>
        <v>0</v>
      </c>
      <c r="EI405" s="3">
        <f t="shared" si="308"/>
        <v>0</v>
      </c>
      <c r="EJ405" s="3">
        <f t="shared" si="308"/>
        <v>0</v>
      </c>
      <c r="EK405" s="3">
        <f t="shared" si="308"/>
        <v>0</v>
      </c>
      <c r="EL405" s="3">
        <f t="shared" si="308"/>
        <v>0</v>
      </c>
      <c r="EM405" s="3">
        <f t="shared" ref="EM405:FR405" si="309">EM426</f>
        <v>0</v>
      </c>
      <c r="EN405" s="3">
        <f t="shared" si="309"/>
        <v>0</v>
      </c>
      <c r="EO405" s="3">
        <f t="shared" si="309"/>
        <v>0</v>
      </c>
      <c r="EP405" s="3">
        <f t="shared" si="309"/>
        <v>0</v>
      </c>
      <c r="EQ405" s="3">
        <f t="shared" si="309"/>
        <v>0</v>
      </c>
      <c r="ER405" s="3">
        <f t="shared" si="309"/>
        <v>0</v>
      </c>
      <c r="ES405" s="3">
        <f t="shared" si="309"/>
        <v>0</v>
      </c>
      <c r="ET405" s="3">
        <f t="shared" si="309"/>
        <v>0</v>
      </c>
      <c r="EU405" s="3">
        <f t="shared" si="309"/>
        <v>0</v>
      </c>
      <c r="EV405" s="3">
        <f t="shared" si="309"/>
        <v>0</v>
      </c>
      <c r="EW405" s="3">
        <f t="shared" si="309"/>
        <v>0</v>
      </c>
      <c r="EX405" s="3">
        <f t="shared" si="309"/>
        <v>0</v>
      </c>
      <c r="EY405" s="3">
        <f t="shared" si="309"/>
        <v>0</v>
      </c>
      <c r="EZ405" s="3">
        <f t="shared" si="309"/>
        <v>0</v>
      </c>
      <c r="FA405" s="3">
        <f t="shared" si="309"/>
        <v>0</v>
      </c>
      <c r="FB405" s="3">
        <f t="shared" si="309"/>
        <v>0</v>
      </c>
      <c r="FC405" s="3">
        <f t="shared" si="309"/>
        <v>0</v>
      </c>
      <c r="FD405" s="3">
        <f t="shared" si="309"/>
        <v>0</v>
      </c>
      <c r="FE405" s="3">
        <f t="shared" si="309"/>
        <v>0</v>
      </c>
      <c r="FF405" s="3">
        <f t="shared" si="309"/>
        <v>0</v>
      </c>
      <c r="FG405" s="3">
        <f t="shared" si="309"/>
        <v>0</v>
      </c>
      <c r="FH405" s="3">
        <f t="shared" si="309"/>
        <v>0</v>
      </c>
      <c r="FI405" s="3">
        <f t="shared" si="309"/>
        <v>0</v>
      </c>
      <c r="FJ405" s="3">
        <f t="shared" si="309"/>
        <v>0</v>
      </c>
      <c r="FK405" s="3">
        <f t="shared" si="309"/>
        <v>0</v>
      </c>
      <c r="FL405" s="3">
        <f t="shared" si="309"/>
        <v>0</v>
      </c>
      <c r="FM405" s="3">
        <f t="shared" si="309"/>
        <v>0</v>
      </c>
      <c r="FN405" s="3">
        <f t="shared" si="309"/>
        <v>0</v>
      </c>
      <c r="FO405" s="3">
        <f t="shared" si="309"/>
        <v>0</v>
      </c>
      <c r="FP405" s="3">
        <f t="shared" si="309"/>
        <v>0</v>
      </c>
      <c r="FQ405" s="3">
        <f t="shared" si="309"/>
        <v>0</v>
      </c>
      <c r="FR405" s="3">
        <f t="shared" si="309"/>
        <v>0</v>
      </c>
      <c r="FS405" s="3">
        <f t="shared" ref="FS405:GX405" si="310">FS426</f>
        <v>0</v>
      </c>
      <c r="FT405" s="3">
        <f t="shared" si="310"/>
        <v>0</v>
      </c>
      <c r="FU405" s="3">
        <f t="shared" si="310"/>
        <v>0</v>
      </c>
      <c r="FV405" s="3">
        <f t="shared" si="310"/>
        <v>0</v>
      </c>
      <c r="FW405" s="3">
        <f t="shared" si="310"/>
        <v>0</v>
      </c>
      <c r="FX405" s="3">
        <f t="shared" si="310"/>
        <v>0</v>
      </c>
      <c r="FY405" s="3">
        <f t="shared" si="310"/>
        <v>0</v>
      </c>
      <c r="FZ405" s="3">
        <f t="shared" si="310"/>
        <v>0</v>
      </c>
      <c r="GA405" s="3">
        <f t="shared" si="310"/>
        <v>0</v>
      </c>
      <c r="GB405" s="3">
        <f t="shared" si="310"/>
        <v>0</v>
      </c>
      <c r="GC405" s="3">
        <f t="shared" si="310"/>
        <v>0</v>
      </c>
      <c r="GD405" s="3">
        <f t="shared" si="310"/>
        <v>0</v>
      </c>
      <c r="GE405" s="3">
        <f t="shared" si="310"/>
        <v>0</v>
      </c>
      <c r="GF405" s="3">
        <f t="shared" si="310"/>
        <v>0</v>
      </c>
      <c r="GG405" s="3">
        <f t="shared" si="310"/>
        <v>0</v>
      </c>
      <c r="GH405" s="3">
        <f t="shared" si="310"/>
        <v>0</v>
      </c>
      <c r="GI405" s="3">
        <f t="shared" si="310"/>
        <v>0</v>
      </c>
      <c r="GJ405" s="3">
        <f t="shared" si="310"/>
        <v>0</v>
      </c>
      <c r="GK405" s="3">
        <f t="shared" si="310"/>
        <v>0</v>
      </c>
      <c r="GL405" s="3">
        <f t="shared" si="310"/>
        <v>0</v>
      </c>
      <c r="GM405" s="3">
        <f t="shared" si="310"/>
        <v>0</v>
      </c>
      <c r="GN405" s="3">
        <f t="shared" si="310"/>
        <v>0</v>
      </c>
      <c r="GO405" s="3">
        <f t="shared" si="310"/>
        <v>0</v>
      </c>
      <c r="GP405" s="3">
        <f t="shared" si="310"/>
        <v>0</v>
      </c>
      <c r="GQ405" s="3">
        <f t="shared" si="310"/>
        <v>0</v>
      </c>
      <c r="GR405" s="3">
        <f t="shared" si="310"/>
        <v>0</v>
      </c>
      <c r="GS405" s="3">
        <f t="shared" si="310"/>
        <v>0</v>
      </c>
      <c r="GT405" s="3">
        <f t="shared" si="310"/>
        <v>0</v>
      </c>
      <c r="GU405" s="3">
        <f t="shared" si="310"/>
        <v>0</v>
      </c>
      <c r="GV405" s="3">
        <f t="shared" si="310"/>
        <v>0</v>
      </c>
      <c r="GW405" s="3">
        <f t="shared" si="310"/>
        <v>0</v>
      </c>
      <c r="GX405" s="3">
        <f t="shared" si="310"/>
        <v>0</v>
      </c>
    </row>
    <row r="407" spans="1:245" x14ac:dyDescent="0.2">
      <c r="A407">
        <v>17</v>
      </c>
      <c r="B407">
        <v>1</v>
      </c>
      <c r="D407">
        <f>ROW(EtalonRes!A217)</f>
        <v>217</v>
      </c>
      <c r="E407" t="s">
        <v>3</v>
      </c>
      <c r="F407" t="s">
        <v>16</v>
      </c>
      <c r="G407" t="s">
        <v>17</v>
      </c>
      <c r="H407" t="s">
        <v>18</v>
      </c>
      <c r="I407">
        <f>ROUND((2*1)/10,9)</f>
        <v>0.2</v>
      </c>
      <c r="J407">
        <v>0</v>
      </c>
      <c r="K407">
        <f>ROUND((2*1)/10,9)</f>
        <v>0.2</v>
      </c>
      <c r="O407">
        <f t="shared" ref="O407:O424" si="311">ROUND(CP407,2)</f>
        <v>2645.34</v>
      </c>
      <c r="P407">
        <f t="shared" ref="P407:P424" si="312">ROUND(CQ407*I407,2)</f>
        <v>0</v>
      </c>
      <c r="Q407">
        <f t="shared" ref="Q407:Q424" si="313">ROUND(CR407*I407,2)</f>
        <v>0</v>
      </c>
      <c r="R407">
        <f t="shared" ref="R407:R424" si="314">ROUND(CS407*I407,2)</f>
        <v>0</v>
      </c>
      <c r="S407">
        <f t="shared" ref="S407:S424" si="315">ROUND(CT407*I407,2)</f>
        <v>2645.34</v>
      </c>
      <c r="T407">
        <f t="shared" ref="T407:T424" si="316">ROUND(CU407*I407,2)</f>
        <v>0</v>
      </c>
      <c r="U407">
        <f t="shared" ref="U407:U424" si="317">CV407*I407</f>
        <v>4.2840000000000007</v>
      </c>
      <c r="V407">
        <f t="shared" ref="V407:V424" si="318">CW407*I407</f>
        <v>0</v>
      </c>
      <c r="W407">
        <f t="shared" ref="W407:W424" si="319">ROUND(CX407*I407,2)</f>
        <v>0</v>
      </c>
      <c r="X407">
        <f t="shared" ref="X407:X424" si="320">ROUND(CY407,2)</f>
        <v>1851.74</v>
      </c>
      <c r="Y407">
        <f t="shared" ref="Y407:Y424" si="321">ROUND(CZ407,2)</f>
        <v>264.52999999999997</v>
      </c>
      <c r="AA407">
        <v>-1</v>
      </c>
      <c r="AB407">
        <f t="shared" ref="AB407:AB424" si="322">ROUND((AC407+AD407+AF407),6)</f>
        <v>13226.68</v>
      </c>
      <c r="AC407">
        <f>ROUND(((ES407*17)),6)</f>
        <v>0</v>
      </c>
      <c r="AD407">
        <f>ROUND(((((ET407*17))-((EU407*17)))+AE407),6)</f>
        <v>0</v>
      </c>
      <c r="AE407">
        <f>ROUND(((EU407*17)),6)</f>
        <v>0</v>
      </c>
      <c r="AF407">
        <f>ROUND(((EV407*17)),6)</f>
        <v>13226.68</v>
      </c>
      <c r="AG407">
        <f t="shared" ref="AG407:AG424" si="323">ROUND((AP407),6)</f>
        <v>0</v>
      </c>
      <c r="AH407">
        <f>((EW407*17))</f>
        <v>21.42</v>
      </c>
      <c r="AI407">
        <f>((EX407*17))</f>
        <v>0</v>
      </c>
      <c r="AJ407">
        <f t="shared" ref="AJ407:AJ424" si="324">(AS407)</f>
        <v>0</v>
      </c>
      <c r="AK407">
        <v>778.04</v>
      </c>
      <c r="AL407">
        <v>0</v>
      </c>
      <c r="AM407">
        <v>0</v>
      </c>
      <c r="AN407">
        <v>0</v>
      </c>
      <c r="AO407">
        <v>778.04</v>
      </c>
      <c r="AP407">
        <v>0</v>
      </c>
      <c r="AQ407">
        <v>1.26</v>
      </c>
      <c r="AR407">
        <v>0</v>
      </c>
      <c r="AS407">
        <v>0</v>
      </c>
      <c r="AT407">
        <v>70</v>
      </c>
      <c r="AU407">
        <v>10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4</v>
      </c>
      <c r="BJ407" t="s">
        <v>19</v>
      </c>
      <c r="BM407">
        <v>0</v>
      </c>
      <c r="BN407">
        <v>0</v>
      </c>
      <c r="BO407" t="s">
        <v>3</v>
      </c>
      <c r="BP407">
        <v>0</v>
      </c>
      <c r="BQ407">
        <v>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70</v>
      </c>
      <c r="CA407">
        <v>10</v>
      </c>
      <c r="CB407" t="s">
        <v>3</v>
      </c>
      <c r="CE407">
        <v>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ref="CP407:CP424" si="325">(P407+Q407+S407)</f>
        <v>2645.34</v>
      </c>
      <c r="CQ407">
        <f t="shared" ref="CQ407:CQ424" si="326">(AC407*BC407*AW407)</f>
        <v>0</v>
      </c>
      <c r="CR407">
        <f>(((((ET407*17))*BB407-((EU407*17))*BS407)+AE407*BS407)*AV407)</f>
        <v>0</v>
      </c>
      <c r="CS407">
        <f t="shared" ref="CS407:CS424" si="327">(AE407*BS407*AV407)</f>
        <v>0</v>
      </c>
      <c r="CT407">
        <f t="shared" ref="CT407:CT424" si="328">(AF407*BA407*AV407)</f>
        <v>13226.68</v>
      </c>
      <c r="CU407">
        <f t="shared" ref="CU407:CU424" si="329">AG407</f>
        <v>0</v>
      </c>
      <c r="CV407">
        <f t="shared" ref="CV407:CV424" si="330">(AH407*AV407)</f>
        <v>21.42</v>
      </c>
      <c r="CW407">
        <f t="shared" ref="CW407:CW424" si="331">AI407</f>
        <v>0</v>
      </c>
      <c r="CX407">
        <f t="shared" ref="CX407:CX424" si="332">AJ407</f>
        <v>0</v>
      </c>
      <c r="CY407">
        <f t="shared" ref="CY407:CY424" si="333">((S407*BZ407)/100)</f>
        <v>1851.7380000000003</v>
      </c>
      <c r="CZ407">
        <f t="shared" ref="CZ407:CZ424" si="334">((S407*CA407)/100)</f>
        <v>264.53399999999999</v>
      </c>
      <c r="DC407" t="s">
        <v>3</v>
      </c>
      <c r="DD407" t="s">
        <v>20</v>
      </c>
      <c r="DE407" t="s">
        <v>20</v>
      </c>
      <c r="DF407" t="s">
        <v>20</v>
      </c>
      <c r="DG407" t="s">
        <v>20</v>
      </c>
      <c r="DH407" t="s">
        <v>3</v>
      </c>
      <c r="DI407" t="s">
        <v>20</v>
      </c>
      <c r="DJ407" t="s">
        <v>20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16987630</v>
      </c>
      <c r="DV407" t="s">
        <v>18</v>
      </c>
      <c r="DW407" t="s">
        <v>18</v>
      </c>
      <c r="DX407">
        <v>10</v>
      </c>
      <c r="DZ407" t="s">
        <v>3</v>
      </c>
      <c r="EA407" t="s">
        <v>3</v>
      </c>
      <c r="EB407" t="s">
        <v>3</v>
      </c>
      <c r="EC407" t="s">
        <v>3</v>
      </c>
      <c r="EE407">
        <v>1441815344</v>
      </c>
      <c r="EF407">
        <v>1</v>
      </c>
      <c r="EG407" t="s">
        <v>21</v>
      </c>
      <c r="EH407">
        <v>0</v>
      </c>
      <c r="EI407" t="s">
        <v>3</v>
      </c>
      <c r="EJ407">
        <v>4</v>
      </c>
      <c r="EK407">
        <v>0</v>
      </c>
      <c r="EL407" t="s">
        <v>22</v>
      </c>
      <c r="EM407" t="s">
        <v>23</v>
      </c>
      <c r="EO407" t="s">
        <v>3</v>
      </c>
      <c r="EQ407">
        <v>1024</v>
      </c>
      <c r="ER407">
        <v>778.04</v>
      </c>
      <c r="ES407">
        <v>0</v>
      </c>
      <c r="ET407">
        <v>0</v>
      </c>
      <c r="EU407">
        <v>0</v>
      </c>
      <c r="EV407">
        <v>778.04</v>
      </c>
      <c r="EW407">
        <v>1.26</v>
      </c>
      <c r="EX407">
        <v>0</v>
      </c>
      <c r="EY407">
        <v>0</v>
      </c>
      <c r="FQ407">
        <v>0</v>
      </c>
      <c r="FR407">
        <f t="shared" ref="FR407:FR424" si="335">ROUND(IF(BI407=3,GM407,0),2)</f>
        <v>0</v>
      </c>
      <c r="FS407">
        <v>0</v>
      </c>
      <c r="FX407">
        <v>70</v>
      </c>
      <c r="FY407">
        <v>10</v>
      </c>
      <c r="GA407" t="s">
        <v>3</v>
      </c>
      <c r="GD407">
        <v>0</v>
      </c>
      <c r="GF407">
        <v>1084928283</v>
      </c>
      <c r="GG407">
        <v>2</v>
      </c>
      <c r="GH407">
        <v>1</v>
      </c>
      <c r="GI407">
        <v>-2</v>
      </c>
      <c r="GJ407">
        <v>0</v>
      </c>
      <c r="GK407">
        <f>ROUND(R407*(R12)/100,2)</f>
        <v>0</v>
      </c>
      <c r="GL407">
        <f t="shared" ref="GL407:GL424" si="336">ROUND(IF(AND(BH407=3,BI407=3,FS407&lt;&gt;0),P407,0),2)</f>
        <v>0</v>
      </c>
      <c r="GM407">
        <f t="shared" ref="GM407:GM424" si="337">ROUND(O407+X407+Y407+GK407,2)+GX407</f>
        <v>4761.6099999999997</v>
      </c>
      <c r="GN407">
        <f t="shared" ref="GN407:GN424" si="338">IF(OR(BI407=0,BI407=1),GM407-GX407,0)</f>
        <v>0</v>
      </c>
      <c r="GO407">
        <f t="shared" ref="GO407:GO424" si="339">IF(BI407=2,GM407-GX407,0)</f>
        <v>0</v>
      </c>
      <c r="GP407">
        <f t="shared" ref="GP407:GP424" si="340">IF(BI407=4,GM407-GX407,0)</f>
        <v>4761.6099999999997</v>
      </c>
      <c r="GR407">
        <v>0</v>
      </c>
      <c r="GS407">
        <v>3</v>
      </c>
      <c r="GT407">
        <v>0</v>
      </c>
      <c r="GU407" t="s">
        <v>3</v>
      </c>
      <c r="GV407">
        <f t="shared" ref="GV407:GV424" si="341">ROUND((GT407),6)</f>
        <v>0</v>
      </c>
      <c r="GW407">
        <v>1</v>
      </c>
      <c r="GX407">
        <f t="shared" ref="GX407:GX424" si="342">ROUND(HC407*I407,2)</f>
        <v>0</v>
      </c>
      <c r="HA407">
        <v>0</v>
      </c>
      <c r="HB407">
        <v>0</v>
      </c>
      <c r="HC407">
        <f t="shared" ref="HC407:HC424" si="343">GV407*GW407</f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D408">
        <f>ROW(EtalonRes!A218)</f>
        <v>218</v>
      </c>
      <c r="E408" t="s">
        <v>3</v>
      </c>
      <c r="F408" t="s">
        <v>24</v>
      </c>
      <c r="G408" t="s">
        <v>25</v>
      </c>
      <c r="H408" t="s">
        <v>18</v>
      </c>
      <c r="I408">
        <f>ROUND(23*3/10,9)</f>
        <v>6.9</v>
      </c>
      <c r="J408">
        <v>0</v>
      </c>
      <c r="K408">
        <f>ROUND(23*3/10,9)</f>
        <v>6.9</v>
      </c>
      <c r="O408">
        <f t="shared" si="311"/>
        <v>33317.89</v>
      </c>
      <c r="P408">
        <f t="shared" si="312"/>
        <v>0</v>
      </c>
      <c r="Q408">
        <f t="shared" si="313"/>
        <v>0</v>
      </c>
      <c r="R408">
        <f t="shared" si="314"/>
        <v>0</v>
      </c>
      <c r="S408">
        <f t="shared" si="315"/>
        <v>33317.89</v>
      </c>
      <c r="T408">
        <f t="shared" si="316"/>
        <v>0</v>
      </c>
      <c r="U408">
        <f t="shared" si="317"/>
        <v>53.958000000000006</v>
      </c>
      <c r="V408">
        <f t="shared" si="318"/>
        <v>0</v>
      </c>
      <c r="W408">
        <f t="shared" si="319"/>
        <v>0</v>
      </c>
      <c r="X408">
        <f t="shared" si="320"/>
        <v>23322.52</v>
      </c>
      <c r="Y408">
        <f t="shared" si="321"/>
        <v>3331.79</v>
      </c>
      <c r="AA408">
        <v>-1</v>
      </c>
      <c r="AB408">
        <f t="shared" si="322"/>
        <v>4828.68</v>
      </c>
      <c r="AC408">
        <f t="shared" ref="AC408:AC414" si="344">ROUND((ES408),6)</f>
        <v>0</v>
      </c>
      <c r="AD408">
        <f>ROUND(((((ET408*34))-((EU408*34)))+AE408),6)</f>
        <v>0</v>
      </c>
      <c r="AE408">
        <f>ROUND(((EU408*34)),6)</f>
        <v>0</v>
      </c>
      <c r="AF408">
        <f>ROUND(((EV408*34)),6)</f>
        <v>4828.68</v>
      </c>
      <c r="AG408">
        <f t="shared" si="323"/>
        <v>0</v>
      </c>
      <c r="AH408">
        <f>((EW408*34))</f>
        <v>7.82</v>
      </c>
      <c r="AI408">
        <f>((EX408*34))</f>
        <v>0</v>
      </c>
      <c r="AJ408">
        <f t="shared" si="324"/>
        <v>0</v>
      </c>
      <c r="AK408">
        <v>142.02000000000001</v>
      </c>
      <c r="AL408">
        <v>0</v>
      </c>
      <c r="AM408">
        <v>0</v>
      </c>
      <c r="AN408">
        <v>0</v>
      </c>
      <c r="AO408">
        <v>142.02000000000001</v>
      </c>
      <c r="AP408">
        <v>0</v>
      </c>
      <c r="AQ408">
        <v>0.23</v>
      </c>
      <c r="AR408">
        <v>0</v>
      </c>
      <c r="AS408">
        <v>0</v>
      </c>
      <c r="AT408">
        <v>70</v>
      </c>
      <c r="AU408">
        <v>10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1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4</v>
      </c>
      <c r="BJ408" t="s">
        <v>26</v>
      </c>
      <c r="BM408">
        <v>0</v>
      </c>
      <c r="BN408">
        <v>0</v>
      </c>
      <c r="BO408" t="s">
        <v>3</v>
      </c>
      <c r="BP408">
        <v>0</v>
      </c>
      <c r="BQ408">
        <v>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70</v>
      </c>
      <c r="CA408">
        <v>10</v>
      </c>
      <c r="CB408" t="s">
        <v>3</v>
      </c>
      <c r="CE408">
        <v>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25"/>
        <v>33317.89</v>
      </c>
      <c r="CQ408">
        <f t="shared" si="326"/>
        <v>0</v>
      </c>
      <c r="CR408">
        <f>(((((ET408*34))*BB408-((EU408*34))*BS408)+AE408*BS408)*AV408)</f>
        <v>0</v>
      </c>
      <c r="CS408">
        <f t="shared" si="327"/>
        <v>0</v>
      </c>
      <c r="CT408">
        <f t="shared" si="328"/>
        <v>4828.68</v>
      </c>
      <c r="CU408">
        <f t="shared" si="329"/>
        <v>0</v>
      </c>
      <c r="CV408">
        <f t="shared" si="330"/>
        <v>7.82</v>
      </c>
      <c r="CW408">
        <f t="shared" si="331"/>
        <v>0</v>
      </c>
      <c r="CX408">
        <f t="shared" si="332"/>
        <v>0</v>
      </c>
      <c r="CY408">
        <f t="shared" si="333"/>
        <v>23322.522999999997</v>
      </c>
      <c r="CZ408">
        <f t="shared" si="334"/>
        <v>3331.7890000000002</v>
      </c>
      <c r="DC408" t="s">
        <v>3</v>
      </c>
      <c r="DD408" t="s">
        <v>3</v>
      </c>
      <c r="DE408" t="s">
        <v>27</v>
      </c>
      <c r="DF408" t="s">
        <v>27</v>
      </c>
      <c r="DG408" t="s">
        <v>27</v>
      </c>
      <c r="DH408" t="s">
        <v>3</v>
      </c>
      <c r="DI408" t="s">
        <v>27</v>
      </c>
      <c r="DJ408" t="s">
        <v>27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16987630</v>
      </c>
      <c r="DV408" t="s">
        <v>18</v>
      </c>
      <c r="DW408" t="s">
        <v>18</v>
      </c>
      <c r="DX408">
        <v>10</v>
      </c>
      <c r="DZ408" t="s">
        <v>3</v>
      </c>
      <c r="EA408" t="s">
        <v>3</v>
      </c>
      <c r="EB408" t="s">
        <v>3</v>
      </c>
      <c r="EC408" t="s">
        <v>3</v>
      </c>
      <c r="EE408">
        <v>1441815344</v>
      </c>
      <c r="EF408">
        <v>1</v>
      </c>
      <c r="EG408" t="s">
        <v>21</v>
      </c>
      <c r="EH408">
        <v>0</v>
      </c>
      <c r="EI408" t="s">
        <v>3</v>
      </c>
      <c r="EJ408">
        <v>4</v>
      </c>
      <c r="EK408">
        <v>0</v>
      </c>
      <c r="EL408" t="s">
        <v>22</v>
      </c>
      <c r="EM408" t="s">
        <v>23</v>
      </c>
      <c r="EO408" t="s">
        <v>3</v>
      </c>
      <c r="EQ408">
        <v>1024</v>
      </c>
      <c r="ER408">
        <v>142.02000000000001</v>
      </c>
      <c r="ES408">
        <v>0</v>
      </c>
      <c r="ET408">
        <v>0</v>
      </c>
      <c r="EU408">
        <v>0</v>
      </c>
      <c r="EV408">
        <v>142.02000000000001</v>
      </c>
      <c r="EW408">
        <v>0.23</v>
      </c>
      <c r="EX408">
        <v>0</v>
      </c>
      <c r="EY408">
        <v>0</v>
      </c>
      <c r="FQ408">
        <v>0</v>
      </c>
      <c r="FR408">
        <f t="shared" si="335"/>
        <v>0</v>
      </c>
      <c r="FS408">
        <v>0</v>
      </c>
      <c r="FX408">
        <v>70</v>
      </c>
      <c r="FY408">
        <v>10</v>
      </c>
      <c r="GA408" t="s">
        <v>3</v>
      </c>
      <c r="GD408">
        <v>0</v>
      </c>
      <c r="GF408">
        <v>1349611776</v>
      </c>
      <c r="GG408">
        <v>2</v>
      </c>
      <c r="GH408">
        <v>1</v>
      </c>
      <c r="GI408">
        <v>-2</v>
      </c>
      <c r="GJ408">
        <v>0</v>
      </c>
      <c r="GK408">
        <f>ROUND(R408*(R12)/100,2)</f>
        <v>0</v>
      </c>
      <c r="GL408">
        <f t="shared" si="336"/>
        <v>0</v>
      </c>
      <c r="GM408">
        <f t="shared" si="337"/>
        <v>59972.2</v>
      </c>
      <c r="GN408">
        <f t="shared" si="338"/>
        <v>0</v>
      </c>
      <c r="GO408">
        <f t="shared" si="339"/>
        <v>0</v>
      </c>
      <c r="GP408">
        <f t="shared" si="340"/>
        <v>59972.2</v>
      </c>
      <c r="GR408">
        <v>0</v>
      </c>
      <c r="GS408">
        <v>3</v>
      </c>
      <c r="GT408">
        <v>0</v>
      </c>
      <c r="GU408" t="s">
        <v>3</v>
      </c>
      <c r="GV408">
        <f t="shared" si="341"/>
        <v>0</v>
      </c>
      <c r="GW408">
        <v>1</v>
      </c>
      <c r="GX408">
        <f t="shared" si="342"/>
        <v>0</v>
      </c>
      <c r="HA408">
        <v>0</v>
      </c>
      <c r="HB408">
        <v>0</v>
      </c>
      <c r="HC408">
        <f t="shared" si="343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D409">
        <f>ROW(EtalonRes!A223)</f>
        <v>223</v>
      </c>
      <c r="E409" t="s">
        <v>279</v>
      </c>
      <c r="F409" t="s">
        <v>29</v>
      </c>
      <c r="G409" t="s">
        <v>30</v>
      </c>
      <c r="H409" t="s">
        <v>31</v>
      </c>
      <c r="I409">
        <f>ROUND((2*1)/100,9)</f>
        <v>0.02</v>
      </c>
      <c r="J409">
        <v>0</v>
      </c>
      <c r="K409">
        <f>ROUND((2*1)/100,9)</f>
        <v>0.02</v>
      </c>
      <c r="O409">
        <f t="shared" si="311"/>
        <v>1075.48</v>
      </c>
      <c r="P409">
        <f t="shared" si="312"/>
        <v>15.53</v>
      </c>
      <c r="Q409">
        <f t="shared" si="313"/>
        <v>1.24</v>
      </c>
      <c r="R409">
        <f t="shared" si="314"/>
        <v>0.01</v>
      </c>
      <c r="S409">
        <f t="shared" si="315"/>
        <v>1058.71</v>
      </c>
      <c r="T409">
        <f t="shared" si="316"/>
        <v>0</v>
      </c>
      <c r="U409">
        <f t="shared" si="317"/>
        <v>2.0888</v>
      </c>
      <c r="V409">
        <f t="shared" si="318"/>
        <v>0</v>
      </c>
      <c r="W409">
        <f t="shared" si="319"/>
        <v>0</v>
      </c>
      <c r="X409">
        <f t="shared" si="320"/>
        <v>741.1</v>
      </c>
      <c r="Y409">
        <f t="shared" si="321"/>
        <v>105.87</v>
      </c>
      <c r="AA409">
        <v>1471531721</v>
      </c>
      <c r="AB409">
        <f t="shared" si="322"/>
        <v>53773.79</v>
      </c>
      <c r="AC409">
        <f t="shared" si="344"/>
        <v>776.55</v>
      </c>
      <c r="AD409">
        <f t="shared" ref="AD409:AD414" si="345">ROUND((((ET409)-(EU409))+AE409),6)</f>
        <v>61.83</v>
      </c>
      <c r="AE409">
        <f t="shared" ref="AE409:AF414" si="346">ROUND((EU409),6)</f>
        <v>0.7</v>
      </c>
      <c r="AF409">
        <f t="shared" si="346"/>
        <v>52935.41</v>
      </c>
      <c r="AG409">
        <f t="shared" si="323"/>
        <v>0</v>
      </c>
      <c r="AH409">
        <f t="shared" ref="AH409:AI414" si="347">(EW409)</f>
        <v>104.44</v>
      </c>
      <c r="AI409">
        <f t="shared" si="347"/>
        <v>0</v>
      </c>
      <c r="AJ409">
        <f t="shared" si="324"/>
        <v>0</v>
      </c>
      <c r="AK409">
        <v>53773.79</v>
      </c>
      <c r="AL409">
        <v>776.55</v>
      </c>
      <c r="AM409">
        <v>61.83</v>
      </c>
      <c r="AN409">
        <v>0.7</v>
      </c>
      <c r="AO409">
        <v>52935.41</v>
      </c>
      <c r="AP409">
        <v>0</v>
      </c>
      <c r="AQ409">
        <v>104.44</v>
      </c>
      <c r="AR409">
        <v>0</v>
      </c>
      <c r="AS409">
        <v>0</v>
      </c>
      <c r="AT409">
        <v>70</v>
      </c>
      <c r="AU409">
        <v>10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1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4</v>
      </c>
      <c r="BJ409" t="s">
        <v>32</v>
      </c>
      <c r="BM409">
        <v>0</v>
      </c>
      <c r="BN409">
        <v>0</v>
      </c>
      <c r="BO409" t="s">
        <v>3</v>
      </c>
      <c r="BP409">
        <v>0</v>
      </c>
      <c r="BQ409">
        <v>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70</v>
      </c>
      <c r="CA409">
        <v>10</v>
      </c>
      <c r="CB409" t="s">
        <v>3</v>
      </c>
      <c r="CE409">
        <v>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25"/>
        <v>1075.48</v>
      </c>
      <c r="CQ409">
        <f t="shared" si="326"/>
        <v>776.55</v>
      </c>
      <c r="CR409">
        <f t="shared" ref="CR409:CR414" si="348">((((ET409)*BB409-(EU409)*BS409)+AE409*BS409)*AV409)</f>
        <v>61.83</v>
      </c>
      <c r="CS409">
        <f t="shared" si="327"/>
        <v>0.7</v>
      </c>
      <c r="CT409">
        <f t="shared" si="328"/>
        <v>52935.41</v>
      </c>
      <c r="CU409">
        <f t="shared" si="329"/>
        <v>0</v>
      </c>
      <c r="CV409">
        <f t="shared" si="330"/>
        <v>104.44</v>
      </c>
      <c r="CW409">
        <f t="shared" si="331"/>
        <v>0</v>
      </c>
      <c r="CX409">
        <f t="shared" si="332"/>
        <v>0</v>
      </c>
      <c r="CY409">
        <f t="shared" si="333"/>
        <v>741.09699999999998</v>
      </c>
      <c r="CZ409">
        <f t="shared" si="334"/>
        <v>105.87100000000001</v>
      </c>
      <c r="DC409" t="s">
        <v>3</v>
      </c>
      <c r="DD409" t="s">
        <v>3</v>
      </c>
      <c r="DE409" t="s">
        <v>3</v>
      </c>
      <c r="DF409" t="s">
        <v>3</v>
      </c>
      <c r="DG409" t="s">
        <v>3</v>
      </c>
      <c r="DH409" t="s">
        <v>3</v>
      </c>
      <c r="DI409" t="s">
        <v>3</v>
      </c>
      <c r="DJ409" t="s">
        <v>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16987630</v>
      </c>
      <c r="DV409" t="s">
        <v>31</v>
      </c>
      <c r="DW409" t="s">
        <v>31</v>
      </c>
      <c r="DX409">
        <v>100</v>
      </c>
      <c r="DZ409" t="s">
        <v>3</v>
      </c>
      <c r="EA409" t="s">
        <v>3</v>
      </c>
      <c r="EB409" t="s">
        <v>3</v>
      </c>
      <c r="EC409" t="s">
        <v>3</v>
      </c>
      <c r="EE409">
        <v>1441815344</v>
      </c>
      <c r="EF409">
        <v>1</v>
      </c>
      <c r="EG409" t="s">
        <v>21</v>
      </c>
      <c r="EH409">
        <v>0</v>
      </c>
      <c r="EI409" t="s">
        <v>3</v>
      </c>
      <c r="EJ409">
        <v>4</v>
      </c>
      <c r="EK409">
        <v>0</v>
      </c>
      <c r="EL409" t="s">
        <v>22</v>
      </c>
      <c r="EM409" t="s">
        <v>23</v>
      </c>
      <c r="EO409" t="s">
        <v>3</v>
      </c>
      <c r="EQ409">
        <v>0</v>
      </c>
      <c r="ER409">
        <v>53773.79</v>
      </c>
      <c r="ES409">
        <v>776.55</v>
      </c>
      <c r="ET409">
        <v>61.83</v>
      </c>
      <c r="EU409">
        <v>0.7</v>
      </c>
      <c r="EV409">
        <v>52935.41</v>
      </c>
      <c r="EW409">
        <v>104.44</v>
      </c>
      <c r="EX409">
        <v>0</v>
      </c>
      <c r="EY409">
        <v>0</v>
      </c>
      <c r="FQ409">
        <v>0</v>
      </c>
      <c r="FR409">
        <f t="shared" si="335"/>
        <v>0</v>
      </c>
      <c r="FS409">
        <v>0</v>
      </c>
      <c r="FX409">
        <v>70</v>
      </c>
      <c r="FY409">
        <v>10</v>
      </c>
      <c r="GA409" t="s">
        <v>3</v>
      </c>
      <c r="GD409">
        <v>0</v>
      </c>
      <c r="GF409">
        <v>-36092940</v>
      </c>
      <c r="GG409">
        <v>2</v>
      </c>
      <c r="GH409">
        <v>1</v>
      </c>
      <c r="GI409">
        <v>-2</v>
      </c>
      <c r="GJ409">
        <v>0</v>
      </c>
      <c r="GK409">
        <f>ROUND(R409*(R12)/100,2)</f>
        <v>0.01</v>
      </c>
      <c r="GL409">
        <f t="shared" si="336"/>
        <v>0</v>
      </c>
      <c r="GM409">
        <f t="shared" si="337"/>
        <v>1922.46</v>
      </c>
      <c r="GN409">
        <f t="shared" si="338"/>
        <v>0</v>
      </c>
      <c r="GO409">
        <f t="shared" si="339"/>
        <v>0</v>
      </c>
      <c r="GP409">
        <f t="shared" si="340"/>
        <v>1922.46</v>
      </c>
      <c r="GR409">
        <v>0</v>
      </c>
      <c r="GS409">
        <v>3</v>
      </c>
      <c r="GT409">
        <v>0</v>
      </c>
      <c r="GU409" t="s">
        <v>3</v>
      </c>
      <c r="GV409">
        <f t="shared" si="341"/>
        <v>0</v>
      </c>
      <c r="GW409">
        <v>1</v>
      </c>
      <c r="GX409">
        <f t="shared" si="342"/>
        <v>0</v>
      </c>
      <c r="HA409">
        <v>0</v>
      </c>
      <c r="HB409">
        <v>0</v>
      </c>
      <c r="HC409">
        <f t="shared" si="343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D410">
        <f>ROW(EtalonRes!A228)</f>
        <v>228</v>
      </c>
      <c r="E410" t="s">
        <v>280</v>
      </c>
      <c r="F410" t="s">
        <v>34</v>
      </c>
      <c r="G410" t="s">
        <v>35</v>
      </c>
      <c r="H410" t="s">
        <v>31</v>
      </c>
      <c r="I410">
        <f>ROUND((2*1)/100,9)</f>
        <v>0.02</v>
      </c>
      <c r="J410">
        <v>0</v>
      </c>
      <c r="K410">
        <f>ROUND((2*1)/100,9)</f>
        <v>0.02</v>
      </c>
      <c r="O410">
        <f t="shared" si="311"/>
        <v>1556.88</v>
      </c>
      <c r="P410">
        <f t="shared" si="312"/>
        <v>15.53</v>
      </c>
      <c r="Q410">
        <f t="shared" si="313"/>
        <v>1.24</v>
      </c>
      <c r="R410">
        <f t="shared" si="314"/>
        <v>0.01</v>
      </c>
      <c r="S410">
        <f t="shared" si="315"/>
        <v>1540.11</v>
      </c>
      <c r="T410">
        <f t="shared" si="316"/>
        <v>0</v>
      </c>
      <c r="U410">
        <f t="shared" si="317"/>
        <v>3.0386000000000002</v>
      </c>
      <c r="V410">
        <f t="shared" si="318"/>
        <v>0</v>
      </c>
      <c r="W410">
        <f t="shared" si="319"/>
        <v>0</v>
      </c>
      <c r="X410">
        <f t="shared" si="320"/>
        <v>1078.08</v>
      </c>
      <c r="Y410">
        <f t="shared" si="321"/>
        <v>154.01</v>
      </c>
      <c r="AA410">
        <v>1471531721</v>
      </c>
      <c r="AB410">
        <f t="shared" si="322"/>
        <v>77844.100000000006</v>
      </c>
      <c r="AC410">
        <f t="shared" si="344"/>
        <v>776.55</v>
      </c>
      <c r="AD410">
        <f t="shared" si="345"/>
        <v>61.83</v>
      </c>
      <c r="AE410">
        <f t="shared" si="346"/>
        <v>0.7</v>
      </c>
      <c r="AF410">
        <f t="shared" si="346"/>
        <v>77005.72</v>
      </c>
      <c r="AG410">
        <f t="shared" si="323"/>
        <v>0</v>
      </c>
      <c r="AH410">
        <f t="shared" si="347"/>
        <v>151.93</v>
      </c>
      <c r="AI410">
        <f t="shared" si="347"/>
        <v>0</v>
      </c>
      <c r="AJ410">
        <f t="shared" si="324"/>
        <v>0</v>
      </c>
      <c r="AK410">
        <v>77844.100000000006</v>
      </c>
      <c r="AL410">
        <v>776.55</v>
      </c>
      <c r="AM410">
        <v>61.83</v>
      </c>
      <c r="AN410">
        <v>0.7</v>
      </c>
      <c r="AO410">
        <v>77005.72</v>
      </c>
      <c r="AP410">
        <v>0</v>
      </c>
      <c r="AQ410">
        <v>151.93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36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25"/>
        <v>1556.8799999999999</v>
      </c>
      <c r="CQ410">
        <f t="shared" si="326"/>
        <v>776.55</v>
      </c>
      <c r="CR410">
        <f t="shared" si="348"/>
        <v>61.83</v>
      </c>
      <c r="CS410">
        <f t="shared" si="327"/>
        <v>0.7</v>
      </c>
      <c r="CT410">
        <f t="shared" si="328"/>
        <v>77005.72</v>
      </c>
      <c r="CU410">
        <f t="shared" si="329"/>
        <v>0</v>
      </c>
      <c r="CV410">
        <f t="shared" si="330"/>
        <v>151.93</v>
      </c>
      <c r="CW410">
        <f t="shared" si="331"/>
        <v>0</v>
      </c>
      <c r="CX410">
        <f t="shared" si="332"/>
        <v>0</v>
      </c>
      <c r="CY410">
        <f t="shared" si="333"/>
        <v>1078.077</v>
      </c>
      <c r="CZ410">
        <f t="shared" si="334"/>
        <v>154.011</v>
      </c>
      <c r="DC410" t="s">
        <v>3</v>
      </c>
      <c r="DD410" t="s">
        <v>3</v>
      </c>
      <c r="DE410" t="s">
        <v>3</v>
      </c>
      <c r="DF410" t="s">
        <v>3</v>
      </c>
      <c r="DG410" t="s">
        <v>3</v>
      </c>
      <c r="DH410" t="s">
        <v>3</v>
      </c>
      <c r="DI410" t="s">
        <v>3</v>
      </c>
      <c r="DJ410" t="s">
        <v>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16987630</v>
      </c>
      <c r="DV410" t="s">
        <v>31</v>
      </c>
      <c r="DW410" t="s">
        <v>31</v>
      </c>
      <c r="DX410">
        <v>100</v>
      </c>
      <c r="DZ410" t="s">
        <v>3</v>
      </c>
      <c r="EA410" t="s">
        <v>3</v>
      </c>
      <c r="EB410" t="s">
        <v>3</v>
      </c>
      <c r="EC410" t="s">
        <v>3</v>
      </c>
      <c r="EE410">
        <v>1441815344</v>
      </c>
      <c r="EF410">
        <v>1</v>
      </c>
      <c r="EG410" t="s">
        <v>21</v>
      </c>
      <c r="EH410">
        <v>0</v>
      </c>
      <c r="EI410" t="s">
        <v>3</v>
      </c>
      <c r="EJ410">
        <v>4</v>
      </c>
      <c r="EK410">
        <v>0</v>
      </c>
      <c r="EL410" t="s">
        <v>22</v>
      </c>
      <c r="EM410" t="s">
        <v>23</v>
      </c>
      <c r="EO410" t="s">
        <v>3</v>
      </c>
      <c r="EQ410">
        <v>0</v>
      </c>
      <c r="ER410">
        <v>77844.100000000006</v>
      </c>
      <c r="ES410">
        <v>776.55</v>
      </c>
      <c r="ET410">
        <v>61.83</v>
      </c>
      <c r="EU410">
        <v>0.7</v>
      </c>
      <c r="EV410">
        <v>77005.72</v>
      </c>
      <c r="EW410">
        <v>151.93</v>
      </c>
      <c r="EX410">
        <v>0</v>
      </c>
      <c r="EY410">
        <v>0</v>
      </c>
      <c r="FQ410">
        <v>0</v>
      </c>
      <c r="FR410">
        <f t="shared" si="335"/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1944845796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0.01</v>
      </c>
      <c r="GL410">
        <f t="shared" si="336"/>
        <v>0</v>
      </c>
      <c r="GM410">
        <f t="shared" si="337"/>
        <v>2788.98</v>
      </c>
      <c r="GN410">
        <f t="shared" si="338"/>
        <v>0</v>
      </c>
      <c r="GO410">
        <f t="shared" si="339"/>
        <v>0</v>
      </c>
      <c r="GP410">
        <f t="shared" si="340"/>
        <v>2788.98</v>
      </c>
      <c r="GR410">
        <v>0</v>
      </c>
      <c r="GS410">
        <v>3</v>
      </c>
      <c r="GT410">
        <v>0</v>
      </c>
      <c r="GU410" t="s">
        <v>3</v>
      </c>
      <c r="GV410">
        <f t="shared" si="341"/>
        <v>0</v>
      </c>
      <c r="GW410">
        <v>1</v>
      </c>
      <c r="GX410">
        <f t="shared" si="342"/>
        <v>0</v>
      </c>
      <c r="HA410">
        <v>0</v>
      </c>
      <c r="HB410">
        <v>0</v>
      </c>
      <c r="HC410">
        <f t="shared" si="343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D411">
        <f>ROW(EtalonRes!A229)</f>
        <v>229</v>
      </c>
      <c r="E411" t="s">
        <v>3</v>
      </c>
      <c r="F411" t="s">
        <v>37</v>
      </c>
      <c r="G411" t="s">
        <v>38</v>
      </c>
      <c r="H411" t="s">
        <v>39</v>
      </c>
      <c r="I411">
        <f>ROUND(2*1,9)</f>
        <v>2</v>
      </c>
      <c r="J411">
        <v>0</v>
      </c>
      <c r="K411">
        <f>ROUND(2*1,9)</f>
        <v>2</v>
      </c>
      <c r="O411">
        <f t="shared" si="311"/>
        <v>1012.68</v>
      </c>
      <c r="P411">
        <f t="shared" si="312"/>
        <v>0</v>
      </c>
      <c r="Q411">
        <f t="shared" si="313"/>
        <v>0</v>
      </c>
      <c r="R411">
        <f t="shared" si="314"/>
        <v>0</v>
      </c>
      <c r="S411">
        <f t="shared" si="315"/>
        <v>1012.68</v>
      </c>
      <c r="T411">
        <f t="shared" si="316"/>
        <v>0</v>
      </c>
      <c r="U411">
        <f t="shared" si="317"/>
        <v>1.64</v>
      </c>
      <c r="V411">
        <f t="shared" si="318"/>
        <v>0</v>
      </c>
      <c r="W411">
        <f t="shared" si="319"/>
        <v>0</v>
      </c>
      <c r="X411">
        <f t="shared" si="320"/>
        <v>708.88</v>
      </c>
      <c r="Y411">
        <f t="shared" si="321"/>
        <v>101.27</v>
      </c>
      <c r="AA411">
        <v>-1</v>
      </c>
      <c r="AB411">
        <f t="shared" si="322"/>
        <v>506.34</v>
      </c>
      <c r="AC411">
        <f t="shared" si="344"/>
        <v>0</v>
      </c>
      <c r="AD411">
        <f t="shared" si="345"/>
        <v>0</v>
      </c>
      <c r="AE411">
        <f t="shared" si="346"/>
        <v>0</v>
      </c>
      <c r="AF411">
        <f t="shared" si="346"/>
        <v>506.34</v>
      </c>
      <c r="AG411">
        <f t="shared" si="323"/>
        <v>0</v>
      </c>
      <c r="AH411">
        <f t="shared" si="347"/>
        <v>0.82</v>
      </c>
      <c r="AI411">
        <f t="shared" si="347"/>
        <v>0</v>
      </c>
      <c r="AJ411">
        <f t="shared" si="324"/>
        <v>0</v>
      </c>
      <c r="AK411">
        <v>506.34</v>
      </c>
      <c r="AL411">
        <v>0</v>
      </c>
      <c r="AM411">
        <v>0</v>
      </c>
      <c r="AN411">
        <v>0</v>
      </c>
      <c r="AO411">
        <v>506.34</v>
      </c>
      <c r="AP411">
        <v>0</v>
      </c>
      <c r="AQ411">
        <v>0.82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40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25"/>
        <v>1012.68</v>
      </c>
      <c r="CQ411">
        <f t="shared" si="326"/>
        <v>0</v>
      </c>
      <c r="CR411">
        <f t="shared" si="348"/>
        <v>0</v>
      </c>
      <c r="CS411">
        <f t="shared" si="327"/>
        <v>0</v>
      </c>
      <c r="CT411">
        <f t="shared" si="328"/>
        <v>506.34</v>
      </c>
      <c r="CU411">
        <f t="shared" si="329"/>
        <v>0</v>
      </c>
      <c r="CV411">
        <f t="shared" si="330"/>
        <v>0.82</v>
      </c>
      <c r="CW411">
        <f t="shared" si="331"/>
        <v>0</v>
      </c>
      <c r="CX411">
        <f t="shared" si="332"/>
        <v>0</v>
      </c>
      <c r="CY411">
        <f t="shared" si="333"/>
        <v>708.87599999999986</v>
      </c>
      <c r="CZ411">
        <f t="shared" si="334"/>
        <v>101.26799999999999</v>
      </c>
      <c r="DC411" t="s">
        <v>3</v>
      </c>
      <c r="DD411" t="s">
        <v>3</v>
      </c>
      <c r="DE411" t="s">
        <v>3</v>
      </c>
      <c r="DF411" t="s">
        <v>3</v>
      </c>
      <c r="DG411" t="s">
        <v>3</v>
      </c>
      <c r="DH411" t="s">
        <v>3</v>
      </c>
      <c r="DI411" t="s">
        <v>3</v>
      </c>
      <c r="DJ411" t="s">
        <v>3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16987630</v>
      </c>
      <c r="DV411" t="s">
        <v>39</v>
      </c>
      <c r="DW411" t="s">
        <v>39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1441815344</v>
      </c>
      <c r="EF411">
        <v>1</v>
      </c>
      <c r="EG411" t="s">
        <v>21</v>
      </c>
      <c r="EH411">
        <v>0</v>
      </c>
      <c r="EI411" t="s">
        <v>3</v>
      </c>
      <c r="EJ411">
        <v>4</v>
      </c>
      <c r="EK411">
        <v>0</v>
      </c>
      <c r="EL411" t="s">
        <v>22</v>
      </c>
      <c r="EM411" t="s">
        <v>23</v>
      </c>
      <c r="EO411" t="s">
        <v>3</v>
      </c>
      <c r="EQ411">
        <v>1311744</v>
      </c>
      <c r="ER411">
        <v>506.34</v>
      </c>
      <c r="ES411">
        <v>0</v>
      </c>
      <c r="ET411">
        <v>0</v>
      </c>
      <c r="EU411">
        <v>0</v>
      </c>
      <c r="EV411">
        <v>506.34</v>
      </c>
      <c r="EW411">
        <v>0.82</v>
      </c>
      <c r="EX411">
        <v>0</v>
      </c>
      <c r="EY411">
        <v>0</v>
      </c>
      <c r="FQ411">
        <v>0</v>
      </c>
      <c r="FR411">
        <f t="shared" si="335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1354931498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</v>
      </c>
      <c r="GL411">
        <f t="shared" si="336"/>
        <v>0</v>
      </c>
      <c r="GM411">
        <f t="shared" si="337"/>
        <v>1822.83</v>
      </c>
      <c r="GN411">
        <f t="shared" si="338"/>
        <v>0</v>
      </c>
      <c r="GO411">
        <f t="shared" si="339"/>
        <v>0</v>
      </c>
      <c r="GP411">
        <f t="shared" si="340"/>
        <v>1822.83</v>
      </c>
      <c r="GR411">
        <v>0</v>
      </c>
      <c r="GS411">
        <v>3</v>
      </c>
      <c r="GT411">
        <v>0</v>
      </c>
      <c r="GU411" t="s">
        <v>3</v>
      </c>
      <c r="GV411">
        <f t="shared" si="341"/>
        <v>0</v>
      </c>
      <c r="GW411">
        <v>1</v>
      </c>
      <c r="GX411">
        <f t="shared" si="342"/>
        <v>0</v>
      </c>
      <c r="HA411">
        <v>0</v>
      </c>
      <c r="HB411">
        <v>0</v>
      </c>
      <c r="HC411">
        <f t="shared" si="343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1</v>
      </c>
      <c r="D412">
        <f>ROW(EtalonRes!A231)</f>
        <v>231</v>
      </c>
      <c r="E412" t="s">
        <v>281</v>
      </c>
      <c r="F412" t="s">
        <v>42</v>
      </c>
      <c r="G412" t="s">
        <v>43</v>
      </c>
      <c r="H412" t="s">
        <v>39</v>
      </c>
      <c r="I412">
        <f>ROUND((2)*1,9)</f>
        <v>2</v>
      </c>
      <c r="J412">
        <v>0</v>
      </c>
      <c r="K412">
        <f>ROUND((2)*1,9)</f>
        <v>2</v>
      </c>
      <c r="O412">
        <f t="shared" si="311"/>
        <v>572.36</v>
      </c>
      <c r="P412">
        <f t="shared" si="312"/>
        <v>0</v>
      </c>
      <c r="Q412">
        <f t="shared" si="313"/>
        <v>156.36000000000001</v>
      </c>
      <c r="R412">
        <f t="shared" si="314"/>
        <v>99.14</v>
      </c>
      <c r="S412">
        <f t="shared" si="315"/>
        <v>416</v>
      </c>
      <c r="T412">
        <f t="shared" si="316"/>
        <v>0</v>
      </c>
      <c r="U412">
        <f t="shared" si="317"/>
        <v>0.74</v>
      </c>
      <c r="V412">
        <f t="shared" si="318"/>
        <v>0</v>
      </c>
      <c r="W412">
        <f t="shared" si="319"/>
        <v>0</v>
      </c>
      <c r="X412">
        <f t="shared" si="320"/>
        <v>291.2</v>
      </c>
      <c r="Y412">
        <f t="shared" si="321"/>
        <v>41.6</v>
      </c>
      <c r="AA412">
        <v>1471531721</v>
      </c>
      <c r="AB412">
        <f t="shared" si="322"/>
        <v>286.18</v>
      </c>
      <c r="AC412">
        <f t="shared" si="344"/>
        <v>0</v>
      </c>
      <c r="AD412">
        <f t="shared" si="345"/>
        <v>78.180000000000007</v>
      </c>
      <c r="AE412">
        <f t="shared" si="346"/>
        <v>49.57</v>
      </c>
      <c r="AF412">
        <f t="shared" si="346"/>
        <v>208</v>
      </c>
      <c r="AG412">
        <f t="shared" si="323"/>
        <v>0</v>
      </c>
      <c r="AH412">
        <f t="shared" si="347"/>
        <v>0.37</v>
      </c>
      <c r="AI412">
        <f t="shared" si="347"/>
        <v>0</v>
      </c>
      <c r="AJ412">
        <f t="shared" si="324"/>
        <v>0</v>
      </c>
      <c r="AK412">
        <v>286.18</v>
      </c>
      <c r="AL412">
        <v>0</v>
      </c>
      <c r="AM412">
        <v>78.180000000000007</v>
      </c>
      <c r="AN412">
        <v>49.57</v>
      </c>
      <c r="AO412">
        <v>208</v>
      </c>
      <c r="AP412">
        <v>0</v>
      </c>
      <c r="AQ412">
        <v>0.37</v>
      </c>
      <c r="AR412">
        <v>0</v>
      </c>
      <c r="AS412">
        <v>0</v>
      </c>
      <c r="AT412">
        <v>70</v>
      </c>
      <c r="AU412">
        <v>10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1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4</v>
      </c>
      <c r="BJ412" t="s">
        <v>44</v>
      </c>
      <c r="BM412">
        <v>0</v>
      </c>
      <c r="BN412">
        <v>0</v>
      </c>
      <c r="BO412" t="s">
        <v>3</v>
      </c>
      <c r="BP412">
        <v>0</v>
      </c>
      <c r="BQ412">
        <v>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70</v>
      </c>
      <c r="CA412">
        <v>10</v>
      </c>
      <c r="CB412" t="s">
        <v>3</v>
      </c>
      <c r="CE412">
        <v>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si="325"/>
        <v>572.36</v>
      </c>
      <c r="CQ412">
        <f t="shared" si="326"/>
        <v>0</v>
      </c>
      <c r="CR412">
        <f t="shared" si="348"/>
        <v>78.180000000000007</v>
      </c>
      <c r="CS412">
        <f t="shared" si="327"/>
        <v>49.57</v>
      </c>
      <c r="CT412">
        <f t="shared" si="328"/>
        <v>208</v>
      </c>
      <c r="CU412">
        <f t="shared" si="329"/>
        <v>0</v>
      </c>
      <c r="CV412">
        <f t="shared" si="330"/>
        <v>0.37</v>
      </c>
      <c r="CW412">
        <f t="shared" si="331"/>
        <v>0</v>
      </c>
      <c r="CX412">
        <f t="shared" si="332"/>
        <v>0</v>
      </c>
      <c r="CY412">
        <f t="shared" si="333"/>
        <v>291.2</v>
      </c>
      <c r="CZ412">
        <f t="shared" si="334"/>
        <v>41.6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16987630</v>
      </c>
      <c r="DV412" t="s">
        <v>39</v>
      </c>
      <c r="DW412" t="s">
        <v>39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1441815344</v>
      </c>
      <c r="EF412">
        <v>1</v>
      </c>
      <c r="EG412" t="s">
        <v>21</v>
      </c>
      <c r="EH412">
        <v>0</v>
      </c>
      <c r="EI412" t="s">
        <v>3</v>
      </c>
      <c r="EJ412">
        <v>4</v>
      </c>
      <c r="EK412">
        <v>0</v>
      </c>
      <c r="EL412" t="s">
        <v>22</v>
      </c>
      <c r="EM412" t="s">
        <v>23</v>
      </c>
      <c r="EO412" t="s">
        <v>3</v>
      </c>
      <c r="EQ412">
        <v>0</v>
      </c>
      <c r="ER412">
        <v>286.18</v>
      </c>
      <c r="ES412">
        <v>0</v>
      </c>
      <c r="ET412">
        <v>78.180000000000007</v>
      </c>
      <c r="EU412">
        <v>49.57</v>
      </c>
      <c r="EV412">
        <v>208</v>
      </c>
      <c r="EW412">
        <v>0.37</v>
      </c>
      <c r="EX412">
        <v>0</v>
      </c>
      <c r="EY412">
        <v>0</v>
      </c>
      <c r="FQ412">
        <v>0</v>
      </c>
      <c r="FR412">
        <f t="shared" si="335"/>
        <v>0</v>
      </c>
      <c r="FS412">
        <v>0</v>
      </c>
      <c r="FX412">
        <v>70</v>
      </c>
      <c r="FY412">
        <v>10</v>
      </c>
      <c r="GA412" t="s">
        <v>3</v>
      </c>
      <c r="GD412">
        <v>0</v>
      </c>
      <c r="GF412">
        <v>1694456522</v>
      </c>
      <c r="GG412">
        <v>2</v>
      </c>
      <c r="GH412">
        <v>1</v>
      </c>
      <c r="GI412">
        <v>-2</v>
      </c>
      <c r="GJ412">
        <v>0</v>
      </c>
      <c r="GK412">
        <f>ROUND(R412*(R12)/100,2)</f>
        <v>107.07</v>
      </c>
      <c r="GL412">
        <f t="shared" si="336"/>
        <v>0</v>
      </c>
      <c r="GM412">
        <f t="shared" si="337"/>
        <v>1012.23</v>
      </c>
      <c r="GN412">
        <f t="shared" si="338"/>
        <v>0</v>
      </c>
      <c r="GO412">
        <f t="shared" si="339"/>
        <v>0</v>
      </c>
      <c r="GP412">
        <f t="shared" si="340"/>
        <v>1012.23</v>
      </c>
      <c r="GR412">
        <v>0</v>
      </c>
      <c r="GS412">
        <v>3</v>
      </c>
      <c r="GT412">
        <v>0</v>
      </c>
      <c r="GU412" t="s">
        <v>3</v>
      </c>
      <c r="GV412">
        <f t="shared" si="341"/>
        <v>0</v>
      </c>
      <c r="GW412">
        <v>1</v>
      </c>
      <c r="GX412">
        <f t="shared" si="342"/>
        <v>0</v>
      </c>
      <c r="HA412">
        <v>0</v>
      </c>
      <c r="HB412">
        <v>0</v>
      </c>
      <c r="HC412">
        <f t="shared" si="343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D413">
        <f>ROW(EtalonRes!A232)</f>
        <v>232</v>
      </c>
      <c r="E413" t="s">
        <v>282</v>
      </c>
      <c r="F413" t="s">
        <v>46</v>
      </c>
      <c r="G413" t="s">
        <v>47</v>
      </c>
      <c r="H413" t="s">
        <v>48</v>
      </c>
      <c r="I413">
        <f>ROUND(2*1/100,9)</f>
        <v>0.02</v>
      </c>
      <c r="J413">
        <v>0</v>
      </c>
      <c r="K413">
        <f>ROUND(2*1/100,9)</f>
        <v>0.02</v>
      </c>
      <c r="O413">
        <f t="shared" si="311"/>
        <v>317.92</v>
      </c>
      <c r="P413">
        <f t="shared" si="312"/>
        <v>0</v>
      </c>
      <c r="Q413">
        <f t="shared" si="313"/>
        <v>0</v>
      </c>
      <c r="R413">
        <f t="shared" si="314"/>
        <v>0</v>
      </c>
      <c r="S413">
        <f t="shared" si="315"/>
        <v>317.92</v>
      </c>
      <c r="T413">
        <f t="shared" si="316"/>
        <v>0</v>
      </c>
      <c r="U413">
        <f t="shared" si="317"/>
        <v>0.53400000000000003</v>
      </c>
      <c r="V413">
        <f t="shared" si="318"/>
        <v>0</v>
      </c>
      <c r="W413">
        <f t="shared" si="319"/>
        <v>0</v>
      </c>
      <c r="X413">
        <f t="shared" si="320"/>
        <v>222.54</v>
      </c>
      <c r="Y413">
        <f t="shared" si="321"/>
        <v>31.79</v>
      </c>
      <c r="AA413">
        <v>1471531721</v>
      </c>
      <c r="AB413">
        <f t="shared" si="322"/>
        <v>15896.11</v>
      </c>
      <c r="AC413">
        <f t="shared" si="344"/>
        <v>0</v>
      </c>
      <c r="AD413">
        <f t="shared" si="345"/>
        <v>0</v>
      </c>
      <c r="AE413">
        <f t="shared" si="346"/>
        <v>0</v>
      </c>
      <c r="AF413">
        <f t="shared" si="346"/>
        <v>15896.11</v>
      </c>
      <c r="AG413">
        <f t="shared" si="323"/>
        <v>0</v>
      </c>
      <c r="AH413">
        <f t="shared" si="347"/>
        <v>26.7</v>
      </c>
      <c r="AI413">
        <f t="shared" si="347"/>
        <v>0</v>
      </c>
      <c r="AJ413">
        <f t="shared" si="324"/>
        <v>0</v>
      </c>
      <c r="AK413">
        <v>15896.11</v>
      </c>
      <c r="AL413">
        <v>0</v>
      </c>
      <c r="AM413">
        <v>0</v>
      </c>
      <c r="AN413">
        <v>0</v>
      </c>
      <c r="AO413">
        <v>15896.11</v>
      </c>
      <c r="AP413">
        <v>0</v>
      </c>
      <c r="AQ413">
        <v>26.7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49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B413" t="s">
        <v>3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325"/>
        <v>317.92</v>
      </c>
      <c r="CQ413">
        <f t="shared" si="326"/>
        <v>0</v>
      </c>
      <c r="CR413">
        <f t="shared" si="348"/>
        <v>0</v>
      </c>
      <c r="CS413">
        <f t="shared" si="327"/>
        <v>0</v>
      </c>
      <c r="CT413">
        <f t="shared" si="328"/>
        <v>15896.11</v>
      </c>
      <c r="CU413">
        <f t="shared" si="329"/>
        <v>0</v>
      </c>
      <c r="CV413">
        <f t="shared" si="330"/>
        <v>26.7</v>
      </c>
      <c r="CW413">
        <f t="shared" si="331"/>
        <v>0</v>
      </c>
      <c r="CX413">
        <f t="shared" si="332"/>
        <v>0</v>
      </c>
      <c r="CY413">
        <f t="shared" si="333"/>
        <v>222.54400000000001</v>
      </c>
      <c r="CZ413">
        <f t="shared" si="334"/>
        <v>31.792000000000002</v>
      </c>
      <c r="DC413" t="s">
        <v>3</v>
      </c>
      <c r="DD413" t="s">
        <v>3</v>
      </c>
      <c r="DE413" t="s">
        <v>3</v>
      </c>
      <c r="DF413" t="s">
        <v>3</v>
      </c>
      <c r="DG413" t="s">
        <v>3</v>
      </c>
      <c r="DH413" t="s">
        <v>3</v>
      </c>
      <c r="DI413" t="s">
        <v>3</v>
      </c>
      <c r="DJ413" t="s">
        <v>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1013</v>
      </c>
      <c r="DV413" t="s">
        <v>48</v>
      </c>
      <c r="DW413" t="s">
        <v>48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1441815344</v>
      </c>
      <c r="EF413">
        <v>1</v>
      </c>
      <c r="EG413" t="s">
        <v>21</v>
      </c>
      <c r="EH413">
        <v>0</v>
      </c>
      <c r="EI413" t="s">
        <v>3</v>
      </c>
      <c r="EJ413">
        <v>4</v>
      </c>
      <c r="EK413">
        <v>0</v>
      </c>
      <c r="EL413" t="s">
        <v>22</v>
      </c>
      <c r="EM413" t="s">
        <v>23</v>
      </c>
      <c r="EO413" t="s">
        <v>3</v>
      </c>
      <c r="EQ413">
        <v>0</v>
      </c>
      <c r="ER413">
        <v>15896.11</v>
      </c>
      <c r="ES413">
        <v>0</v>
      </c>
      <c r="ET413">
        <v>0</v>
      </c>
      <c r="EU413">
        <v>0</v>
      </c>
      <c r="EV413">
        <v>15896.11</v>
      </c>
      <c r="EW413">
        <v>26.7</v>
      </c>
      <c r="EX413">
        <v>0</v>
      </c>
      <c r="EY413">
        <v>0</v>
      </c>
      <c r="FQ413">
        <v>0</v>
      </c>
      <c r="FR413">
        <f t="shared" si="335"/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-1089660975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 t="shared" si="336"/>
        <v>0</v>
      </c>
      <c r="GM413">
        <f t="shared" si="337"/>
        <v>572.25</v>
      </c>
      <c r="GN413">
        <f t="shared" si="338"/>
        <v>0</v>
      </c>
      <c r="GO413">
        <f t="shared" si="339"/>
        <v>0</v>
      </c>
      <c r="GP413">
        <f t="shared" si="340"/>
        <v>572.25</v>
      </c>
      <c r="GR413">
        <v>0</v>
      </c>
      <c r="GS413">
        <v>3</v>
      </c>
      <c r="GT413">
        <v>0</v>
      </c>
      <c r="GU413" t="s">
        <v>3</v>
      </c>
      <c r="GV413">
        <f t="shared" si="341"/>
        <v>0</v>
      </c>
      <c r="GW413">
        <v>1</v>
      </c>
      <c r="GX413">
        <f t="shared" si="342"/>
        <v>0</v>
      </c>
      <c r="HA413">
        <v>0</v>
      </c>
      <c r="HB413">
        <v>0</v>
      </c>
      <c r="HC413">
        <f t="shared" si="343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D414">
        <f>ROW(EtalonRes!A234)</f>
        <v>234</v>
      </c>
      <c r="E414" t="s">
        <v>283</v>
      </c>
      <c r="F414" t="s">
        <v>51</v>
      </c>
      <c r="G414" t="s">
        <v>52</v>
      </c>
      <c r="H414" t="s">
        <v>31</v>
      </c>
      <c r="I414">
        <f>ROUND(2*1/100,9)</f>
        <v>0.02</v>
      </c>
      <c r="J414">
        <v>0</v>
      </c>
      <c r="K414">
        <f>ROUND(2*1/100,9)</f>
        <v>0.02</v>
      </c>
      <c r="O414">
        <f t="shared" si="311"/>
        <v>288.91000000000003</v>
      </c>
      <c r="P414">
        <f t="shared" si="312"/>
        <v>4.87</v>
      </c>
      <c r="Q414">
        <f t="shared" si="313"/>
        <v>0</v>
      </c>
      <c r="R414">
        <f t="shared" si="314"/>
        <v>0</v>
      </c>
      <c r="S414">
        <f t="shared" si="315"/>
        <v>284.04000000000002</v>
      </c>
      <c r="T414">
        <f t="shared" si="316"/>
        <v>0</v>
      </c>
      <c r="U414">
        <f t="shared" si="317"/>
        <v>0.56040000000000001</v>
      </c>
      <c r="V414">
        <f t="shared" si="318"/>
        <v>0</v>
      </c>
      <c r="W414">
        <f t="shared" si="319"/>
        <v>0</v>
      </c>
      <c r="X414">
        <f t="shared" si="320"/>
        <v>198.83</v>
      </c>
      <c r="Y414">
        <f t="shared" si="321"/>
        <v>28.4</v>
      </c>
      <c r="AA414">
        <v>1471531721</v>
      </c>
      <c r="AB414">
        <f t="shared" si="322"/>
        <v>14445.51</v>
      </c>
      <c r="AC414">
        <f t="shared" si="344"/>
        <v>243.57</v>
      </c>
      <c r="AD414">
        <f t="shared" si="345"/>
        <v>0</v>
      </c>
      <c r="AE414">
        <f t="shared" si="346"/>
        <v>0</v>
      </c>
      <c r="AF414">
        <f t="shared" si="346"/>
        <v>14201.94</v>
      </c>
      <c r="AG414">
        <f t="shared" si="323"/>
        <v>0</v>
      </c>
      <c r="AH414">
        <f t="shared" si="347"/>
        <v>28.02</v>
      </c>
      <c r="AI414">
        <f t="shared" si="347"/>
        <v>0</v>
      </c>
      <c r="AJ414">
        <f t="shared" si="324"/>
        <v>0</v>
      </c>
      <c r="AK414">
        <v>14445.51</v>
      </c>
      <c r="AL414">
        <v>243.57</v>
      </c>
      <c r="AM414">
        <v>0</v>
      </c>
      <c r="AN414">
        <v>0</v>
      </c>
      <c r="AO414">
        <v>14201.94</v>
      </c>
      <c r="AP414">
        <v>0</v>
      </c>
      <c r="AQ414">
        <v>28.02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53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B414" t="s">
        <v>3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325"/>
        <v>288.91000000000003</v>
      </c>
      <c r="CQ414">
        <f t="shared" si="326"/>
        <v>243.57</v>
      </c>
      <c r="CR414">
        <f t="shared" si="348"/>
        <v>0</v>
      </c>
      <c r="CS414">
        <f t="shared" si="327"/>
        <v>0</v>
      </c>
      <c r="CT414">
        <f t="shared" si="328"/>
        <v>14201.94</v>
      </c>
      <c r="CU414">
        <f t="shared" si="329"/>
        <v>0</v>
      </c>
      <c r="CV414">
        <f t="shared" si="330"/>
        <v>28.02</v>
      </c>
      <c r="CW414">
        <f t="shared" si="331"/>
        <v>0</v>
      </c>
      <c r="CX414">
        <f t="shared" si="332"/>
        <v>0</v>
      </c>
      <c r="CY414">
        <f t="shared" si="333"/>
        <v>198.82800000000003</v>
      </c>
      <c r="CZ414">
        <f t="shared" si="334"/>
        <v>28.404</v>
      </c>
      <c r="DC414" t="s">
        <v>3</v>
      </c>
      <c r="DD414" t="s">
        <v>3</v>
      </c>
      <c r="DE414" t="s">
        <v>3</v>
      </c>
      <c r="DF414" t="s">
        <v>3</v>
      </c>
      <c r="DG414" t="s">
        <v>3</v>
      </c>
      <c r="DH414" t="s">
        <v>3</v>
      </c>
      <c r="DI414" t="s">
        <v>3</v>
      </c>
      <c r="DJ414" t="s">
        <v>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16987630</v>
      </c>
      <c r="DV414" t="s">
        <v>31</v>
      </c>
      <c r="DW414" t="s">
        <v>31</v>
      </c>
      <c r="DX414">
        <v>100</v>
      </c>
      <c r="DZ414" t="s">
        <v>3</v>
      </c>
      <c r="EA414" t="s">
        <v>3</v>
      </c>
      <c r="EB414" t="s">
        <v>3</v>
      </c>
      <c r="EC414" t="s">
        <v>3</v>
      </c>
      <c r="EE414">
        <v>1441815344</v>
      </c>
      <c r="EF414">
        <v>1</v>
      </c>
      <c r="EG414" t="s">
        <v>21</v>
      </c>
      <c r="EH414">
        <v>0</v>
      </c>
      <c r="EI414" t="s">
        <v>3</v>
      </c>
      <c r="EJ414">
        <v>4</v>
      </c>
      <c r="EK414">
        <v>0</v>
      </c>
      <c r="EL414" t="s">
        <v>22</v>
      </c>
      <c r="EM414" t="s">
        <v>23</v>
      </c>
      <c r="EO414" t="s">
        <v>3</v>
      </c>
      <c r="EQ414">
        <v>0</v>
      </c>
      <c r="ER414">
        <v>14445.51</v>
      </c>
      <c r="ES414">
        <v>243.57</v>
      </c>
      <c r="ET414">
        <v>0</v>
      </c>
      <c r="EU414">
        <v>0</v>
      </c>
      <c r="EV414">
        <v>14201.94</v>
      </c>
      <c r="EW414">
        <v>28.02</v>
      </c>
      <c r="EX414">
        <v>0</v>
      </c>
      <c r="EY414">
        <v>0</v>
      </c>
      <c r="FQ414">
        <v>0</v>
      </c>
      <c r="FR414">
        <f t="shared" si="335"/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1586733399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 t="shared" si="336"/>
        <v>0</v>
      </c>
      <c r="GM414">
        <f t="shared" si="337"/>
        <v>516.14</v>
      </c>
      <c r="GN414">
        <f t="shared" si="338"/>
        <v>0</v>
      </c>
      <c r="GO414">
        <f t="shared" si="339"/>
        <v>0</v>
      </c>
      <c r="GP414">
        <f t="shared" si="340"/>
        <v>516.14</v>
      </c>
      <c r="GR414">
        <v>0</v>
      </c>
      <c r="GS414">
        <v>3</v>
      </c>
      <c r="GT414">
        <v>0</v>
      </c>
      <c r="GU414" t="s">
        <v>3</v>
      </c>
      <c r="GV414">
        <f t="shared" si="341"/>
        <v>0</v>
      </c>
      <c r="GW414">
        <v>1</v>
      </c>
      <c r="GX414">
        <f t="shared" si="342"/>
        <v>0</v>
      </c>
      <c r="HA414">
        <v>0</v>
      </c>
      <c r="HB414">
        <v>0</v>
      </c>
      <c r="HC414">
        <f t="shared" si="343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D415">
        <f>ROW(EtalonRes!A235)</f>
        <v>235</v>
      </c>
      <c r="E415" t="s">
        <v>3</v>
      </c>
      <c r="F415" t="s">
        <v>54</v>
      </c>
      <c r="G415" t="s">
        <v>55</v>
      </c>
      <c r="H415" t="s">
        <v>39</v>
      </c>
      <c r="I415">
        <v>2</v>
      </c>
      <c r="J415">
        <v>0</v>
      </c>
      <c r="K415">
        <v>2</v>
      </c>
      <c r="O415">
        <f t="shared" si="311"/>
        <v>642.16</v>
      </c>
      <c r="P415">
        <f t="shared" si="312"/>
        <v>0</v>
      </c>
      <c r="Q415">
        <f t="shared" si="313"/>
        <v>0</v>
      </c>
      <c r="R415">
        <f t="shared" si="314"/>
        <v>0</v>
      </c>
      <c r="S415">
        <f t="shared" si="315"/>
        <v>642.16</v>
      </c>
      <c r="T415">
        <f t="shared" si="316"/>
        <v>0</v>
      </c>
      <c r="U415">
        <f t="shared" si="317"/>
        <v>1.04</v>
      </c>
      <c r="V415">
        <f t="shared" si="318"/>
        <v>0</v>
      </c>
      <c r="W415">
        <f t="shared" si="319"/>
        <v>0</v>
      </c>
      <c r="X415">
        <f t="shared" si="320"/>
        <v>449.51</v>
      </c>
      <c r="Y415">
        <f t="shared" si="321"/>
        <v>64.22</v>
      </c>
      <c r="AA415">
        <v>-1</v>
      </c>
      <c r="AB415">
        <f t="shared" si="322"/>
        <v>321.08</v>
      </c>
      <c r="AC415">
        <f>ROUND(((ES415*4)),6)</f>
        <v>0</v>
      </c>
      <c r="AD415">
        <f>ROUND(((((ET415*4))-((EU415*4)))+AE415),6)</f>
        <v>0</v>
      </c>
      <c r="AE415">
        <f>ROUND(((EU415*4)),6)</f>
        <v>0</v>
      </c>
      <c r="AF415">
        <f>ROUND(((EV415*4)),6)</f>
        <v>321.08</v>
      </c>
      <c r="AG415">
        <f t="shared" si="323"/>
        <v>0</v>
      </c>
      <c r="AH415">
        <f>((EW415*4))</f>
        <v>0.52</v>
      </c>
      <c r="AI415">
        <f>((EX415*4))</f>
        <v>0</v>
      </c>
      <c r="AJ415">
        <f t="shared" si="324"/>
        <v>0</v>
      </c>
      <c r="AK415">
        <v>80.27</v>
      </c>
      <c r="AL415">
        <v>0</v>
      </c>
      <c r="AM415">
        <v>0</v>
      </c>
      <c r="AN415">
        <v>0</v>
      </c>
      <c r="AO415">
        <v>80.27</v>
      </c>
      <c r="AP415">
        <v>0</v>
      </c>
      <c r="AQ415">
        <v>0.13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4</v>
      </c>
      <c r="BJ415" t="s">
        <v>56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B415" t="s">
        <v>3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325"/>
        <v>642.16</v>
      </c>
      <c r="CQ415">
        <f t="shared" si="326"/>
        <v>0</v>
      </c>
      <c r="CR415">
        <f>(((((ET415*4))*BB415-((EU415*4))*BS415)+AE415*BS415)*AV415)</f>
        <v>0</v>
      </c>
      <c r="CS415">
        <f t="shared" si="327"/>
        <v>0</v>
      </c>
      <c r="CT415">
        <f t="shared" si="328"/>
        <v>321.08</v>
      </c>
      <c r="CU415">
        <f t="shared" si="329"/>
        <v>0</v>
      </c>
      <c r="CV415">
        <f t="shared" si="330"/>
        <v>0.52</v>
      </c>
      <c r="CW415">
        <f t="shared" si="331"/>
        <v>0</v>
      </c>
      <c r="CX415">
        <f t="shared" si="332"/>
        <v>0</v>
      </c>
      <c r="CY415">
        <f t="shared" si="333"/>
        <v>449.51199999999994</v>
      </c>
      <c r="CZ415">
        <f t="shared" si="334"/>
        <v>64.215999999999994</v>
      </c>
      <c r="DC415" t="s">
        <v>3</v>
      </c>
      <c r="DD415" t="s">
        <v>57</v>
      </c>
      <c r="DE415" t="s">
        <v>57</v>
      </c>
      <c r="DF415" t="s">
        <v>57</v>
      </c>
      <c r="DG415" t="s">
        <v>57</v>
      </c>
      <c r="DH415" t="s">
        <v>3</v>
      </c>
      <c r="DI415" t="s">
        <v>57</v>
      </c>
      <c r="DJ415" t="s">
        <v>57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16987630</v>
      </c>
      <c r="DV415" t="s">
        <v>39</v>
      </c>
      <c r="DW415" t="s">
        <v>39</v>
      </c>
      <c r="DX415">
        <v>1</v>
      </c>
      <c r="DZ415" t="s">
        <v>3</v>
      </c>
      <c r="EA415" t="s">
        <v>3</v>
      </c>
      <c r="EB415" t="s">
        <v>3</v>
      </c>
      <c r="EC415" t="s">
        <v>3</v>
      </c>
      <c r="EE415">
        <v>1441815344</v>
      </c>
      <c r="EF415">
        <v>1</v>
      </c>
      <c r="EG415" t="s">
        <v>21</v>
      </c>
      <c r="EH415">
        <v>0</v>
      </c>
      <c r="EI415" t="s">
        <v>3</v>
      </c>
      <c r="EJ415">
        <v>4</v>
      </c>
      <c r="EK415">
        <v>0</v>
      </c>
      <c r="EL415" t="s">
        <v>22</v>
      </c>
      <c r="EM415" t="s">
        <v>23</v>
      </c>
      <c r="EO415" t="s">
        <v>3</v>
      </c>
      <c r="EQ415">
        <v>1024</v>
      </c>
      <c r="ER415">
        <v>80.27</v>
      </c>
      <c r="ES415">
        <v>0</v>
      </c>
      <c r="ET415">
        <v>0</v>
      </c>
      <c r="EU415">
        <v>0</v>
      </c>
      <c r="EV415">
        <v>80.27</v>
      </c>
      <c r="EW415">
        <v>0.13</v>
      </c>
      <c r="EX415">
        <v>0</v>
      </c>
      <c r="EY415">
        <v>0</v>
      </c>
      <c r="FQ415">
        <v>0</v>
      </c>
      <c r="FR415">
        <f t="shared" si="335"/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1384570016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 t="shared" si="336"/>
        <v>0</v>
      </c>
      <c r="GM415">
        <f t="shared" si="337"/>
        <v>1155.8900000000001</v>
      </c>
      <c r="GN415">
        <f t="shared" si="338"/>
        <v>0</v>
      </c>
      <c r="GO415">
        <f t="shared" si="339"/>
        <v>0</v>
      </c>
      <c r="GP415">
        <f t="shared" si="340"/>
        <v>1155.8900000000001</v>
      </c>
      <c r="GR415">
        <v>0</v>
      </c>
      <c r="GS415">
        <v>3</v>
      </c>
      <c r="GT415">
        <v>0</v>
      </c>
      <c r="GU415" t="s">
        <v>3</v>
      </c>
      <c r="GV415">
        <f t="shared" si="341"/>
        <v>0</v>
      </c>
      <c r="GW415">
        <v>1</v>
      </c>
      <c r="GX415">
        <f t="shared" si="342"/>
        <v>0</v>
      </c>
      <c r="HA415">
        <v>0</v>
      </c>
      <c r="HB415">
        <v>0</v>
      </c>
      <c r="HC415">
        <f t="shared" si="343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D416">
        <f>ROW(EtalonRes!A239)</f>
        <v>239</v>
      </c>
      <c r="E416" t="s">
        <v>3</v>
      </c>
      <c r="F416" t="s">
        <v>58</v>
      </c>
      <c r="G416" t="s">
        <v>59</v>
      </c>
      <c r="H416" t="s">
        <v>60</v>
      </c>
      <c r="I416">
        <f>ROUND((9+8)*1*0.1/100,9)</f>
        <v>1.7000000000000001E-2</v>
      </c>
      <c r="J416">
        <v>0</v>
      </c>
      <c r="K416">
        <f>ROUND((9+8)*1*0.1/100,9)</f>
        <v>1.7000000000000001E-2</v>
      </c>
      <c r="O416">
        <f t="shared" si="311"/>
        <v>287.43</v>
      </c>
      <c r="P416">
        <f t="shared" si="312"/>
        <v>46.38</v>
      </c>
      <c r="Q416">
        <f t="shared" si="313"/>
        <v>0</v>
      </c>
      <c r="R416">
        <f t="shared" si="314"/>
        <v>0</v>
      </c>
      <c r="S416">
        <f t="shared" si="315"/>
        <v>241.05</v>
      </c>
      <c r="T416">
        <f t="shared" si="316"/>
        <v>0</v>
      </c>
      <c r="U416">
        <f t="shared" si="317"/>
        <v>0.50218000000000007</v>
      </c>
      <c r="V416">
        <f t="shared" si="318"/>
        <v>0</v>
      </c>
      <c r="W416">
        <f t="shared" si="319"/>
        <v>0</v>
      </c>
      <c r="X416">
        <f t="shared" si="320"/>
        <v>168.74</v>
      </c>
      <c r="Y416">
        <f t="shared" si="321"/>
        <v>24.11</v>
      </c>
      <c r="AA416">
        <v>-1</v>
      </c>
      <c r="AB416">
        <f t="shared" si="322"/>
        <v>16907.419999999998</v>
      </c>
      <c r="AC416">
        <f>ROUND((ES416),6)</f>
        <v>2728.22</v>
      </c>
      <c r="AD416">
        <f>ROUND((((ET416)-(EU416))+AE416),6)</f>
        <v>0</v>
      </c>
      <c r="AE416">
        <f>ROUND((EU416),6)</f>
        <v>0</v>
      </c>
      <c r="AF416">
        <f>ROUND((EV416),6)</f>
        <v>14179.2</v>
      </c>
      <c r="AG416">
        <f t="shared" si="323"/>
        <v>0</v>
      </c>
      <c r="AH416">
        <f>(EW416)</f>
        <v>29.54</v>
      </c>
      <c r="AI416">
        <f>(EX416)</f>
        <v>0</v>
      </c>
      <c r="AJ416">
        <f t="shared" si="324"/>
        <v>0</v>
      </c>
      <c r="AK416">
        <v>16907.419999999998</v>
      </c>
      <c r="AL416">
        <v>2728.22</v>
      </c>
      <c r="AM416">
        <v>0</v>
      </c>
      <c r="AN416">
        <v>0</v>
      </c>
      <c r="AO416">
        <v>14179.2</v>
      </c>
      <c r="AP416">
        <v>0</v>
      </c>
      <c r="AQ416">
        <v>29.54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4</v>
      </c>
      <c r="BJ416" t="s">
        <v>61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B416" t="s">
        <v>3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325"/>
        <v>287.43</v>
      </c>
      <c r="CQ416">
        <f t="shared" si="326"/>
        <v>2728.22</v>
      </c>
      <c r="CR416">
        <f>((((ET416)*BB416-(EU416)*BS416)+AE416*BS416)*AV416)</f>
        <v>0</v>
      </c>
      <c r="CS416">
        <f t="shared" si="327"/>
        <v>0</v>
      </c>
      <c r="CT416">
        <f t="shared" si="328"/>
        <v>14179.2</v>
      </c>
      <c r="CU416">
        <f t="shared" si="329"/>
        <v>0</v>
      </c>
      <c r="CV416">
        <f t="shared" si="330"/>
        <v>29.54</v>
      </c>
      <c r="CW416">
        <f t="shared" si="331"/>
        <v>0</v>
      </c>
      <c r="CX416">
        <f t="shared" si="332"/>
        <v>0</v>
      </c>
      <c r="CY416">
        <f t="shared" si="333"/>
        <v>168.73500000000001</v>
      </c>
      <c r="CZ416">
        <f t="shared" si="334"/>
        <v>24.105</v>
      </c>
      <c r="DC416" t="s">
        <v>3</v>
      </c>
      <c r="DD416" t="s">
        <v>3</v>
      </c>
      <c r="DE416" t="s">
        <v>3</v>
      </c>
      <c r="DF416" t="s">
        <v>3</v>
      </c>
      <c r="DG416" t="s">
        <v>3</v>
      </c>
      <c r="DH416" t="s">
        <v>3</v>
      </c>
      <c r="DI416" t="s">
        <v>3</v>
      </c>
      <c r="DJ416" t="s">
        <v>3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1003</v>
      </c>
      <c r="DV416" t="s">
        <v>60</v>
      </c>
      <c r="DW416" t="s">
        <v>60</v>
      </c>
      <c r="DX416">
        <v>100</v>
      </c>
      <c r="DZ416" t="s">
        <v>3</v>
      </c>
      <c r="EA416" t="s">
        <v>3</v>
      </c>
      <c r="EB416" t="s">
        <v>3</v>
      </c>
      <c r="EC416" t="s">
        <v>3</v>
      </c>
      <c r="EE416">
        <v>1441815344</v>
      </c>
      <c r="EF416">
        <v>1</v>
      </c>
      <c r="EG416" t="s">
        <v>21</v>
      </c>
      <c r="EH416">
        <v>0</v>
      </c>
      <c r="EI416" t="s">
        <v>3</v>
      </c>
      <c r="EJ416">
        <v>4</v>
      </c>
      <c r="EK416">
        <v>0</v>
      </c>
      <c r="EL416" t="s">
        <v>22</v>
      </c>
      <c r="EM416" t="s">
        <v>23</v>
      </c>
      <c r="EO416" t="s">
        <v>3</v>
      </c>
      <c r="EQ416">
        <v>1311744</v>
      </c>
      <c r="ER416">
        <v>16907.419999999998</v>
      </c>
      <c r="ES416">
        <v>2728.22</v>
      </c>
      <c r="ET416">
        <v>0</v>
      </c>
      <c r="EU416">
        <v>0</v>
      </c>
      <c r="EV416">
        <v>14179.2</v>
      </c>
      <c r="EW416">
        <v>29.54</v>
      </c>
      <c r="EX416">
        <v>0</v>
      </c>
      <c r="EY416">
        <v>0</v>
      </c>
      <c r="FQ416">
        <v>0</v>
      </c>
      <c r="FR416">
        <f t="shared" si="335"/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-317825441</v>
      </c>
      <c r="GG416">
        <v>2</v>
      </c>
      <c r="GH416">
        <v>1</v>
      </c>
      <c r="GI416">
        <v>-2</v>
      </c>
      <c r="GJ416">
        <v>0</v>
      </c>
      <c r="GK416">
        <f>ROUND(R416*(R12)/100,2)</f>
        <v>0</v>
      </c>
      <c r="GL416">
        <f t="shared" si="336"/>
        <v>0</v>
      </c>
      <c r="GM416">
        <f t="shared" si="337"/>
        <v>480.28</v>
      </c>
      <c r="GN416">
        <f t="shared" si="338"/>
        <v>0</v>
      </c>
      <c r="GO416">
        <f t="shared" si="339"/>
        <v>0</v>
      </c>
      <c r="GP416">
        <f t="shared" si="340"/>
        <v>480.28</v>
      </c>
      <c r="GR416">
        <v>0</v>
      </c>
      <c r="GS416">
        <v>3</v>
      </c>
      <c r="GT416">
        <v>0</v>
      </c>
      <c r="GU416" t="s">
        <v>3</v>
      </c>
      <c r="GV416">
        <f t="shared" si="341"/>
        <v>0</v>
      </c>
      <c r="GW416">
        <v>1</v>
      </c>
      <c r="GX416">
        <f t="shared" si="342"/>
        <v>0</v>
      </c>
      <c r="HA416">
        <v>0</v>
      </c>
      <c r="HB416">
        <v>0</v>
      </c>
      <c r="HC416">
        <f t="shared" si="343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D417">
        <f>ROW(EtalonRes!A240)</f>
        <v>240</v>
      </c>
      <c r="E417" t="s">
        <v>284</v>
      </c>
      <c r="F417" t="s">
        <v>63</v>
      </c>
      <c r="G417" t="s">
        <v>64</v>
      </c>
      <c r="H417" t="s">
        <v>18</v>
      </c>
      <c r="I417">
        <f>ROUND(2*1/10,9)</f>
        <v>0.2</v>
      </c>
      <c r="J417">
        <v>0</v>
      </c>
      <c r="K417">
        <f>ROUND(2*1/10,9)</f>
        <v>0.2</v>
      </c>
      <c r="O417">
        <f t="shared" si="311"/>
        <v>251.94</v>
      </c>
      <c r="P417">
        <f t="shared" si="312"/>
        <v>0</v>
      </c>
      <c r="Q417">
        <f t="shared" si="313"/>
        <v>0</v>
      </c>
      <c r="R417">
        <f t="shared" si="314"/>
        <v>0</v>
      </c>
      <c r="S417">
        <f t="shared" si="315"/>
        <v>251.94</v>
      </c>
      <c r="T417">
        <f t="shared" si="316"/>
        <v>0</v>
      </c>
      <c r="U417">
        <f t="shared" si="317"/>
        <v>0.40800000000000003</v>
      </c>
      <c r="V417">
        <f t="shared" si="318"/>
        <v>0</v>
      </c>
      <c r="W417">
        <f t="shared" si="319"/>
        <v>0</v>
      </c>
      <c r="X417">
        <f t="shared" si="320"/>
        <v>176.36</v>
      </c>
      <c r="Y417">
        <f t="shared" si="321"/>
        <v>25.19</v>
      </c>
      <c r="AA417">
        <v>1471531721</v>
      </c>
      <c r="AB417">
        <f t="shared" si="322"/>
        <v>1259.68</v>
      </c>
      <c r="AC417">
        <f>ROUND((ES417),6)</f>
        <v>0</v>
      </c>
      <c r="AD417">
        <f>ROUND((((ET417)-(EU417))+AE417),6)</f>
        <v>0</v>
      </c>
      <c r="AE417">
        <f>ROUND((EU417),6)</f>
        <v>0</v>
      </c>
      <c r="AF417">
        <f>ROUND((EV417),6)</f>
        <v>1259.68</v>
      </c>
      <c r="AG417">
        <f t="shared" si="323"/>
        <v>0</v>
      </c>
      <c r="AH417">
        <f>(EW417)</f>
        <v>2.04</v>
      </c>
      <c r="AI417">
        <f>(EX417)</f>
        <v>0</v>
      </c>
      <c r="AJ417">
        <f t="shared" si="324"/>
        <v>0</v>
      </c>
      <c r="AK417">
        <v>1259.68</v>
      </c>
      <c r="AL417">
        <v>0</v>
      </c>
      <c r="AM417">
        <v>0</v>
      </c>
      <c r="AN417">
        <v>0</v>
      </c>
      <c r="AO417">
        <v>1259.68</v>
      </c>
      <c r="AP417">
        <v>0</v>
      </c>
      <c r="AQ417">
        <v>2.04</v>
      </c>
      <c r="AR417">
        <v>0</v>
      </c>
      <c r="AS417">
        <v>0</v>
      </c>
      <c r="AT417">
        <v>70</v>
      </c>
      <c r="AU417">
        <v>10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4</v>
      </c>
      <c r="BJ417" t="s">
        <v>65</v>
      </c>
      <c r="BM417">
        <v>0</v>
      </c>
      <c r="BN417">
        <v>0</v>
      </c>
      <c r="BO417" t="s">
        <v>3</v>
      </c>
      <c r="BP417">
        <v>0</v>
      </c>
      <c r="BQ417">
        <v>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70</v>
      </c>
      <c r="CA417">
        <v>10</v>
      </c>
      <c r="CB417" t="s">
        <v>3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325"/>
        <v>251.94</v>
      </c>
      <c r="CQ417">
        <f t="shared" si="326"/>
        <v>0</v>
      </c>
      <c r="CR417">
        <f>((((ET417)*BB417-(EU417)*BS417)+AE417*BS417)*AV417)</f>
        <v>0</v>
      </c>
      <c r="CS417">
        <f t="shared" si="327"/>
        <v>0</v>
      </c>
      <c r="CT417">
        <f t="shared" si="328"/>
        <v>1259.68</v>
      </c>
      <c r="CU417">
        <f t="shared" si="329"/>
        <v>0</v>
      </c>
      <c r="CV417">
        <f t="shared" si="330"/>
        <v>2.04</v>
      </c>
      <c r="CW417">
        <f t="shared" si="331"/>
        <v>0</v>
      </c>
      <c r="CX417">
        <f t="shared" si="332"/>
        <v>0</v>
      </c>
      <c r="CY417">
        <f t="shared" si="333"/>
        <v>176.358</v>
      </c>
      <c r="CZ417">
        <f t="shared" si="334"/>
        <v>25.194000000000003</v>
      </c>
      <c r="DC417" t="s">
        <v>3</v>
      </c>
      <c r="DD417" t="s">
        <v>3</v>
      </c>
      <c r="DE417" t="s">
        <v>3</v>
      </c>
      <c r="DF417" t="s">
        <v>3</v>
      </c>
      <c r="DG417" t="s">
        <v>3</v>
      </c>
      <c r="DH417" t="s">
        <v>3</v>
      </c>
      <c r="DI417" t="s">
        <v>3</v>
      </c>
      <c r="DJ417" t="s">
        <v>3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16987630</v>
      </c>
      <c r="DV417" t="s">
        <v>18</v>
      </c>
      <c r="DW417" t="s">
        <v>18</v>
      </c>
      <c r="DX417">
        <v>10</v>
      </c>
      <c r="DZ417" t="s">
        <v>3</v>
      </c>
      <c r="EA417" t="s">
        <v>3</v>
      </c>
      <c r="EB417" t="s">
        <v>3</v>
      </c>
      <c r="EC417" t="s">
        <v>3</v>
      </c>
      <c r="EE417">
        <v>1441815344</v>
      </c>
      <c r="EF417">
        <v>1</v>
      </c>
      <c r="EG417" t="s">
        <v>21</v>
      </c>
      <c r="EH417">
        <v>0</v>
      </c>
      <c r="EI417" t="s">
        <v>3</v>
      </c>
      <c r="EJ417">
        <v>4</v>
      </c>
      <c r="EK417">
        <v>0</v>
      </c>
      <c r="EL417" t="s">
        <v>22</v>
      </c>
      <c r="EM417" t="s">
        <v>23</v>
      </c>
      <c r="EO417" t="s">
        <v>3</v>
      </c>
      <c r="EQ417">
        <v>0</v>
      </c>
      <c r="ER417">
        <v>1259.68</v>
      </c>
      <c r="ES417">
        <v>0</v>
      </c>
      <c r="ET417">
        <v>0</v>
      </c>
      <c r="EU417">
        <v>0</v>
      </c>
      <c r="EV417">
        <v>1259.68</v>
      </c>
      <c r="EW417">
        <v>2.04</v>
      </c>
      <c r="EX417">
        <v>0</v>
      </c>
      <c r="EY417">
        <v>0</v>
      </c>
      <c r="FQ417">
        <v>0</v>
      </c>
      <c r="FR417">
        <f t="shared" si="335"/>
        <v>0</v>
      </c>
      <c r="FS417">
        <v>0</v>
      </c>
      <c r="FX417">
        <v>70</v>
      </c>
      <c r="FY417">
        <v>10</v>
      </c>
      <c r="GA417" t="s">
        <v>3</v>
      </c>
      <c r="GD417">
        <v>0</v>
      </c>
      <c r="GF417">
        <v>-675599503</v>
      </c>
      <c r="GG417">
        <v>2</v>
      </c>
      <c r="GH417">
        <v>1</v>
      </c>
      <c r="GI417">
        <v>-2</v>
      </c>
      <c r="GJ417">
        <v>0</v>
      </c>
      <c r="GK417">
        <f>ROUND(R417*(R12)/100,2)</f>
        <v>0</v>
      </c>
      <c r="GL417">
        <f t="shared" si="336"/>
        <v>0</v>
      </c>
      <c r="GM417">
        <f t="shared" si="337"/>
        <v>453.49</v>
      </c>
      <c r="GN417">
        <f t="shared" si="338"/>
        <v>0</v>
      </c>
      <c r="GO417">
        <f t="shared" si="339"/>
        <v>0</v>
      </c>
      <c r="GP417">
        <f t="shared" si="340"/>
        <v>453.49</v>
      </c>
      <c r="GR417">
        <v>0</v>
      </c>
      <c r="GS417">
        <v>3</v>
      </c>
      <c r="GT417">
        <v>0</v>
      </c>
      <c r="GU417" t="s">
        <v>3</v>
      </c>
      <c r="GV417">
        <f t="shared" si="341"/>
        <v>0</v>
      </c>
      <c r="GW417">
        <v>1</v>
      </c>
      <c r="GX417">
        <f t="shared" si="342"/>
        <v>0</v>
      </c>
      <c r="HA417">
        <v>0</v>
      </c>
      <c r="HB417">
        <v>0</v>
      </c>
      <c r="HC417">
        <f t="shared" si="343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45" x14ac:dyDescent="0.2">
      <c r="A418">
        <v>17</v>
      </c>
      <c r="B418">
        <v>1</v>
      </c>
      <c r="D418">
        <f>ROW(EtalonRes!A241)</f>
        <v>241</v>
      </c>
      <c r="E418" t="s">
        <v>3</v>
      </c>
      <c r="F418" t="s">
        <v>66</v>
      </c>
      <c r="G418" t="s">
        <v>67</v>
      </c>
      <c r="H418" t="s">
        <v>60</v>
      </c>
      <c r="I418">
        <f>ROUND(ROUND(((320+322+80+80)*0.25)*3/100,9),9)</f>
        <v>6.0149999999999997</v>
      </c>
      <c r="J418">
        <v>0</v>
      </c>
      <c r="K418">
        <f>ROUND(ROUND(((320+322+80+80)*0.25)*3/100,9),9)</f>
        <v>6.0149999999999997</v>
      </c>
      <c r="O418">
        <f t="shared" si="311"/>
        <v>24346.31</v>
      </c>
      <c r="P418">
        <f t="shared" si="312"/>
        <v>0</v>
      </c>
      <c r="Q418">
        <f t="shared" si="313"/>
        <v>0</v>
      </c>
      <c r="R418">
        <f t="shared" si="314"/>
        <v>0</v>
      </c>
      <c r="S418">
        <f t="shared" si="315"/>
        <v>24346.31</v>
      </c>
      <c r="T418">
        <f t="shared" si="316"/>
        <v>0</v>
      </c>
      <c r="U418">
        <f t="shared" si="317"/>
        <v>43.308</v>
      </c>
      <c r="V418">
        <f t="shared" si="318"/>
        <v>0</v>
      </c>
      <c r="W418">
        <f t="shared" si="319"/>
        <v>0</v>
      </c>
      <c r="X418">
        <f t="shared" si="320"/>
        <v>17042.419999999998</v>
      </c>
      <c r="Y418">
        <f t="shared" si="321"/>
        <v>2434.63</v>
      </c>
      <c r="AA418">
        <v>-1</v>
      </c>
      <c r="AB418">
        <f t="shared" si="322"/>
        <v>4047.6</v>
      </c>
      <c r="AC418">
        <f>ROUND(((ES418*8)),6)</f>
        <v>0</v>
      </c>
      <c r="AD418">
        <f>ROUND(((((ET418*8))-((EU418*8)))+AE418),6)</f>
        <v>0</v>
      </c>
      <c r="AE418">
        <f>ROUND(((EU418*8)),6)</f>
        <v>0</v>
      </c>
      <c r="AF418">
        <f>ROUND(((EV418*8)),6)</f>
        <v>4047.6</v>
      </c>
      <c r="AG418">
        <f t="shared" si="323"/>
        <v>0</v>
      </c>
      <c r="AH418">
        <f>((EW418*8))</f>
        <v>7.2</v>
      </c>
      <c r="AI418">
        <f>((EX418*8))</f>
        <v>0</v>
      </c>
      <c r="AJ418">
        <f t="shared" si="324"/>
        <v>0</v>
      </c>
      <c r="AK418">
        <v>505.95</v>
      </c>
      <c r="AL418">
        <v>0</v>
      </c>
      <c r="AM418">
        <v>0</v>
      </c>
      <c r="AN418">
        <v>0</v>
      </c>
      <c r="AO418">
        <v>505.95</v>
      </c>
      <c r="AP418">
        <v>0</v>
      </c>
      <c r="AQ418">
        <v>0.9</v>
      </c>
      <c r="AR418">
        <v>0</v>
      </c>
      <c r="AS418">
        <v>0</v>
      </c>
      <c r="AT418">
        <v>70</v>
      </c>
      <c r="AU418">
        <v>10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0</v>
      </c>
      <c r="BI418">
        <v>4</v>
      </c>
      <c r="BJ418" t="s">
        <v>68</v>
      </c>
      <c r="BM418">
        <v>0</v>
      </c>
      <c r="BN418">
        <v>0</v>
      </c>
      <c r="BO418" t="s">
        <v>3</v>
      </c>
      <c r="BP418">
        <v>0</v>
      </c>
      <c r="BQ418">
        <v>1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70</v>
      </c>
      <c r="CA418">
        <v>10</v>
      </c>
      <c r="CB418" t="s">
        <v>3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325"/>
        <v>24346.31</v>
      </c>
      <c r="CQ418">
        <f t="shared" si="326"/>
        <v>0</v>
      </c>
      <c r="CR418">
        <f>(((((ET418*8))*BB418-((EU418*8))*BS418)+AE418*BS418)*AV418)</f>
        <v>0</v>
      </c>
      <c r="CS418">
        <f t="shared" si="327"/>
        <v>0</v>
      </c>
      <c r="CT418">
        <f t="shared" si="328"/>
        <v>4047.6</v>
      </c>
      <c r="CU418">
        <f t="shared" si="329"/>
        <v>0</v>
      </c>
      <c r="CV418">
        <f t="shared" si="330"/>
        <v>7.2</v>
      </c>
      <c r="CW418">
        <f t="shared" si="331"/>
        <v>0</v>
      </c>
      <c r="CX418">
        <f t="shared" si="332"/>
        <v>0</v>
      </c>
      <c r="CY418">
        <f t="shared" si="333"/>
        <v>17042.417000000001</v>
      </c>
      <c r="CZ418">
        <f t="shared" si="334"/>
        <v>2434.6309999999999</v>
      </c>
      <c r="DC418" t="s">
        <v>3</v>
      </c>
      <c r="DD418" t="s">
        <v>69</v>
      </c>
      <c r="DE418" t="s">
        <v>69</v>
      </c>
      <c r="DF418" t="s">
        <v>69</v>
      </c>
      <c r="DG418" t="s">
        <v>69</v>
      </c>
      <c r="DH418" t="s">
        <v>3</v>
      </c>
      <c r="DI418" t="s">
        <v>69</v>
      </c>
      <c r="DJ418" t="s">
        <v>69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1003</v>
      </c>
      <c r="DV418" t="s">
        <v>60</v>
      </c>
      <c r="DW418" t="s">
        <v>60</v>
      </c>
      <c r="DX418">
        <v>100</v>
      </c>
      <c r="DZ418" t="s">
        <v>3</v>
      </c>
      <c r="EA418" t="s">
        <v>3</v>
      </c>
      <c r="EB418" t="s">
        <v>3</v>
      </c>
      <c r="EC418" t="s">
        <v>3</v>
      </c>
      <c r="EE418">
        <v>1441815344</v>
      </c>
      <c r="EF418">
        <v>1</v>
      </c>
      <c r="EG418" t="s">
        <v>21</v>
      </c>
      <c r="EH418">
        <v>0</v>
      </c>
      <c r="EI418" t="s">
        <v>3</v>
      </c>
      <c r="EJ418">
        <v>4</v>
      </c>
      <c r="EK418">
        <v>0</v>
      </c>
      <c r="EL418" t="s">
        <v>22</v>
      </c>
      <c r="EM418" t="s">
        <v>23</v>
      </c>
      <c r="EO418" t="s">
        <v>3</v>
      </c>
      <c r="EQ418">
        <v>1024</v>
      </c>
      <c r="ER418">
        <v>505.95</v>
      </c>
      <c r="ES418">
        <v>0</v>
      </c>
      <c r="ET418">
        <v>0</v>
      </c>
      <c r="EU418">
        <v>0</v>
      </c>
      <c r="EV418">
        <v>505.95</v>
      </c>
      <c r="EW418">
        <v>0.9</v>
      </c>
      <c r="EX418">
        <v>0</v>
      </c>
      <c r="EY418">
        <v>0</v>
      </c>
      <c r="FQ418">
        <v>0</v>
      </c>
      <c r="FR418">
        <f t="shared" si="335"/>
        <v>0</v>
      </c>
      <c r="FS418">
        <v>0</v>
      </c>
      <c r="FX418">
        <v>70</v>
      </c>
      <c r="FY418">
        <v>10</v>
      </c>
      <c r="GA418" t="s">
        <v>3</v>
      </c>
      <c r="GD418">
        <v>0</v>
      </c>
      <c r="GF418">
        <v>-341239612</v>
      </c>
      <c r="GG418">
        <v>2</v>
      </c>
      <c r="GH418">
        <v>1</v>
      </c>
      <c r="GI418">
        <v>-2</v>
      </c>
      <c r="GJ418">
        <v>0</v>
      </c>
      <c r="GK418">
        <f>ROUND(R418*(R12)/100,2)</f>
        <v>0</v>
      </c>
      <c r="GL418">
        <f t="shared" si="336"/>
        <v>0</v>
      </c>
      <c r="GM418">
        <f t="shared" si="337"/>
        <v>43823.360000000001</v>
      </c>
      <c r="GN418">
        <f t="shared" si="338"/>
        <v>0</v>
      </c>
      <c r="GO418">
        <f t="shared" si="339"/>
        <v>0</v>
      </c>
      <c r="GP418">
        <f t="shared" si="340"/>
        <v>43823.360000000001</v>
      </c>
      <c r="GR418">
        <v>0</v>
      </c>
      <c r="GS418">
        <v>3</v>
      </c>
      <c r="GT418">
        <v>0</v>
      </c>
      <c r="GU418" t="s">
        <v>3</v>
      </c>
      <c r="GV418">
        <f t="shared" si="341"/>
        <v>0</v>
      </c>
      <c r="GW418">
        <v>1</v>
      </c>
      <c r="GX418">
        <f t="shared" si="342"/>
        <v>0</v>
      </c>
      <c r="HA418">
        <v>0</v>
      </c>
      <c r="HB418">
        <v>0</v>
      </c>
      <c r="HC418">
        <f t="shared" si="343"/>
        <v>0</v>
      </c>
      <c r="HE418" t="s">
        <v>3</v>
      </c>
      <c r="HF418" t="s">
        <v>3</v>
      </c>
      <c r="HM418" t="s">
        <v>3</v>
      </c>
      <c r="HN418" t="s">
        <v>3</v>
      </c>
      <c r="HO418" t="s">
        <v>3</v>
      </c>
      <c r="HP418" t="s">
        <v>3</v>
      </c>
      <c r="HQ418" t="s">
        <v>3</v>
      </c>
      <c r="IK418">
        <v>0</v>
      </c>
    </row>
    <row r="419" spans="1:245" x14ac:dyDescent="0.2">
      <c r="A419">
        <v>17</v>
      </c>
      <c r="B419">
        <v>1</v>
      </c>
      <c r="D419">
        <f>ROW(EtalonRes!A242)</f>
        <v>242</v>
      </c>
      <c r="E419" t="s">
        <v>3</v>
      </c>
      <c r="F419" t="s">
        <v>70</v>
      </c>
      <c r="G419" t="s">
        <v>71</v>
      </c>
      <c r="H419" t="s">
        <v>60</v>
      </c>
      <c r="I419">
        <f>ROUND(ROUND(((320+322+80+80)*0.75)*3/100,9),9)</f>
        <v>18.045000000000002</v>
      </c>
      <c r="J419">
        <v>0</v>
      </c>
      <c r="K419">
        <f>ROUND(ROUND(((320+322+80+80)*0.75)*3/100,9),9)</f>
        <v>18.045000000000002</v>
      </c>
      <c r="O419">
        <f t="shared" si="311"/>
        <v>392790.57</v>
      </c>
      <c r="P419">
        <f t="shared" si="312"/>
        <v>0</v>
      </c>
      <c r="Q419">
        <f t="shared" si="313"/>
        <v>0</v>
      </c>
      <c r="R419">
        <f t="shared" si="314"/>
        <v>0</v>
      </c>
      <c r="S419">
        <f t="shared" si="315"/>
        <v>392790.57</v>
      </c>
      <c r="T419">
        <f t="shared" si="316"/>
        <v>0</v>
      </c>
      <c r="U419">
        <f t="shared" si="317"/>
        <v>698.70240000000001</v>
      </c>
      <c r="V419">
        <f t="shared" si="318"/>
        <v>0</v>
      </c>
      <c r="W419">
        <f t="shared" si="319"/>
        <v>0</v>
      </c>
      <c r="X419">
        <f t="shared" si="320"/>
        <v>274953.40000000002</v>
      </c>
      <c r="Y419">
        <f t="shared" si="321"/>
        <v>39279.06</v>
      </c>
      <c r="AA419">
        <v>-1</v>
      </c>
      <c r="AB419">
        <f t="shared" si="322"/>
        <v>21767.279999999999</v>
      </c>
      <c r="AC419">
        <f>ROUND(((ES419*8)),6)</f>
        <v>0</v>
      </c>
      <c r="AD419">
        <f>ROUND(((((ET419*8))-((EU419*8)))+AE419),6)</f>
        <v>0</v>
      </c>
      <c r="AE419">
        <f>ROUND(((EU419*8)),6)</f>
        <v>0</v>
      </c>
      <c r="AF419">
        <f>ROUND(((EV419*8)),6)</f>
        <v>21767.279999999999</v>
      </c>
      <c r="AG419">
        <f t="shared" si="323"/>
        <v>0</v>
      </c>
      <c r="AH419">
        <f>((EW419*8))</f>
        <v>38.72</v>
      </c>
      <c r="AI419">
        <f>((EX419*8))</f>
        <v>0</v>
      </c>
      <c r="AJ419">
        <f t="shared" si="324"/>
        <v>0</v>
      </c>
      <c r="AK419">
        <v>2720.91</v>
      </c>
      <c r="AL419">
        <v>0</v>
      </c>
      <c r="AM419">
        <v>0</v>
      </c>
      <c r="AN419">
        <v>0</v>
      </c>
      <c r="AO419">
        <v>2720.91</v>
      </c>
      <c r="AP419">
        <v>0</v>
      </c>
      <c r="AQ419">
        <v>4.84</v>
      </c>
      <c r="AR419">
        <v>0</v>
      </c>
      <c r="AS419">
        <v>0</v>
      </c>
      <c r="AT419">
        <v>70</v>
      </c>
      <c r="AU419">
        <v>10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3</v>
      </c>
      <c r="BE419" t="s">
        <v>3</v>
      </c>
      <c r="BF419" t="s">
        <v>3</v>
      </c>
      <c r="BG419" t="s">
        <v>3</v>
      </c>
      <c r="BH419">
        <v>0</v>
      </c>
      <c r="BI419">
        <v>4</v>
      </c>
      <c r="BJ419" t="s">
        <v>72</v>
      </c>
      <c r="BM419">
        <v>0</v>
      </c>
      <c r="BN419">
        <v>0</v>
      </c>
      <c r="BO419" t="s">
        <v>3</v>
      </c>
      <c r="BP419">
        <v>0</v>
      </c>
      <c r="BQ419">
        <v>1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70</v>
      </c>
      <c r="CA419">
        <v>10</v>
      </c>
      <c r="CB419" t="s">
        <v>3</v>
      </c>
      <c r="CE419">
        <v>0</v>
      </c>
      <c r="CF419">
        <v>0</v>
      </c>
      <c r="CG419">
        <v>0</v>
      </c>
      <c r="CM419">
        <v>0</v>
      </c>
      <c r="CN419" t="s">
        <v>3</v>
      </c>
      <c r="CO419">
        <v>0</v>
      </c>
      <c r="CP419">
        <f t="shared" si="325"/>
        <v>392790.57</v>
      </c>
      <c r="CQ419">
        <f t="shared" si="326"/>
        <v>0</v>
      </c>
      <c r="CR419">
        <f>(((((ET419*8))*BB419-((EU419*8))*BS419)+AE419*BS419)*AV419)</f>
        <v>0</v>
      </c>
      <c r="CS419">
        <f t="shared" si="327"/>
        <v>0</v>
      </c>
      <c r="CT419">
        <f t="shared" si="328"/>
        <v>21767.279999999999</v>
      </c>
      <c r="CU419">
        <f t="shared" si="329"/>
        <v>0</v>
      </c>
      <c r="CV419">
        <f t="shared" si="330"/>
        <v>38.72</v>
      </c>
      <c r="CW419">
        <f t="shared" si="331"/>
        <v>0</v>
      </c>
      <c r="CX419">
        <f t="shared" si="332"/>
        <v>0</v>
      </c>
      <c r="CY419">
        <f t="shared" si="333"/>
        <v>274953.39900000003</v>
      </c>
      <c r="CZ419">
        <f t="shared" si="334"/>
        <v>39279.057000000001</v>
      </c>
      <c r="DC419" t="s">
        <v>3</v>
      </c>
      <c r="DD419" t="s">
        <v>69</v>
      </c>
      <c r="DE419" t="s">
        <v>69</v>
      </c>
      <c r="DF419" t="s">
        <v>69</v>
      </c>
      <c r="DG419" t="s">
        <v>69</v>
      </c>
      <c r="DH419" t="s">
        <v>3</v>
      </c>
      <c r="DI419" t="s">
        <v>69</v>
      </c>
      <c r="DJ419" t="s">
        <v>69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1003</v>
      </c>
      <c r="DV419" t="s">
        <v>60</v>
      </c>
      <c r="DW419" t="s">
        <v>60</v>
      </c>
      <c r="DX419">
        <v>100</v>
      </c>
      <c r="DZ419" t="s">
        <v>3</v>
      </c>
      <c r="EA419" t="s">
        <v>3</v>
      </c>
      <c r="EB419" t="s">
        <v>3</v>
      </c>
      <c r="EC419" t="s">
        <v>3</v>
      </c>
      <c r="EE419">
        <v>1441815344</v>
      </c>
      <c r="EF419">
        <v>1</v>
      </c>
      <c r="EG419" t="s">
        <v>21</v>
      </c>
      <c r="EH419">
        <v>0</v>
      </c>
      <c r="EI419" t="s">
        <v>3</v>
      </c>
      <c r="EJ419">
        <v>4</v>
      </c>
      <c r="EK419">
        <v>0</v>
      </c>
      <c r="EL419" t="s">
        <v>22</v>
      </c>
      <c r="EM419" t="s">
        <v>23</v>
      </c>
      <c r="EO419" t="s">
        <v>3</v>
      </c>
      <c r="EQ419">
        <v>1024</v>
      </c>
      <c r="ER419">
        <v>2720.91</v>
      </c>
      <c r="ES419">
        <v>0</v>
      </c>
      <c r="ET419">
        <v>0</v>
      </c>
      <c r="EU419">
        <v>0</v>
      </c>
      <c r="EV419">
        <v>2720.91</v>
      </c>
      <c r="EW419">
        <v>4.84</v>
      </c>
      <c r="EX419">
        <v>0</v>
      </c>
      <c r="EY419">
        <v>0</v>
      </c>
      <c r="FQ419">
        <v>0</v>
      </c>
      <c r="FR419">
        <f t="shared" si="335"/>
        <v>0</v>
      </c>
      <c r="FS419">
        <v>0</v>
      </c>
      <c r="FX419">
        <v>70</v>
      </c>
      <c r="FY419">
        <v>10</v>
      </c>
      <c r="GA419" t="s">
        <v>3</v>
      </c>
      <c r="GD419">
        <v>0</v>
      </c>
      <c r="GF419">
        <v>-1706933960</v>
      </c>
      <c r="GG419">
        <v>2</v>
      </c>
      <c r="GH419">
        <v>1</v>
      </c>
      <c r="GI419">
        <v>-2</v>
      </c>
      <c r="GJ419">
        <v>0</v>
      </c>
      <c r="GK419">
        <f>ROUND(R419*(R12)/100,2)</f>
        <v>0</v>
      </c>
      <c r="GL419">
        <f t="shared" si="336"/>
        <v>0</v>
      </c>
      <c r="GM419">
        <f t="shared" si="337"/>
        <v>707023.03</v>
      </c>
      <c r="GN419">
        <f t="shared" si="338"/>
        <v>0</v>
      </c>
      <c r="GO419">
        <f t="shared" si="339"/>
        <v>0</v>
      </c>
      <c r="GP419">
        <f t="shared" si="340"/>
        <v>707023.03</v>
      </c>
      <c r="GR419">
        <v>0</v>
      </c>
      <c r="GS419">
        <v>3</v>
      </c>
      <c r="GT419">
        <v>0</v>
      </c>
      <c r="GU419" t="s">
        <v>3</v>
      </c>
      <c r="GV419">
        <f t="shared" si="341"/>
        <v>0</v>
      </c>
      <c r="GW419">
        <v>1</v>
      </c>
      <c r="GX419">
        <f t="shared" si="342"/>
        <v>0</v>
      </c>
      <c r="HA419">
        <v>0</v>
      </c>
      <c r="HB419">
        <v>0</v>
      </c>
      <c r="HC419">
        <f t="shared" si="343"/>
        <v>0</v>
      </c>
      <c r="HE419" t="s">
        <v>3</v>
      </c>
      <c r="HF419" t="s">
        <v>3</v>
      </c>
      <c r="HM419" t="s">
        <v>3</v>
      </c>
      <c r="HN419" t="s">
        <v>3</v>
      </c>
      <c r="HO419" t="s">
        <v>3</v>
      </c>
      <c r="HP419" t="s">
        <v>3</v>
      </c>
      <c r="HQ419" t="s">
        <v>3</v>
      </c>
      <c r="IK419">
        <v>0</v>
      </c>
    </row>
    <row r="420" spans="1:245" x14ac:dyDescent="0.2">
      <c r="A420">
        <v>17</v>
      </c>
      <c r="B420">
        <v>1</v>
      </c>
      <c r="D420">
        <f>ROW(EtalonRes!A244)</f>
        <v>244</v>
      </c>
      <c r="E420" t="s">
        <v>3</v>
      </c>
      <c r="F420" t="s">
        <v>42</v>
      </c>
      <c r="G420" t="s">
        <v>74</v>
      </c>
      <c r="H420" t="s">
        <v>39</v>
      </c>
      <c r="I420">
        <f>ROUND(3*13,9)</f>
        <v>39</v>
      </c>
      <c r="J420">
        <v>0</v>
      </c>
      <c r="K420">
        <f>ROUND(3*13,9)</f>
        <v>39</v>
      </c>
      <c r="O420">
        <f t="shared" si="311"/>
        <v>22322.04</v>
      </c>
      <c r="P420">
        <f t="shared" si="312"/>
        <v>0</v>
      </c>
      <c r="Q420">
        <f t="shared" si="313"/>
        <v>6098.04</v>
      </c>
      <c r="R420">
        <f t="shared" si="314"/>
        <v>3866.46</v>
      </c>
      <c r="S420">
        <f t="shared" si="315"/>
        <v>16224</v>
      </c>
      <c r="T420">
        <f t="shared" si="316"/>
        <v>0</v>
      </c>
      <c r="U420">
        <f t="shared" si="317"/>
        <v>28.86</v>
      </c>
      <c r="V420">
        <f t="shared" si="318"/>
        <v>0</v>
      </c>
      <c r="W420">
        <f t="shared" si="319"/>
        <v>0</v>
      </c>
      <c r="X420">
        <f t="shared" si="320"/>
        <v>11356.8</v>
      </c>
      <c r="Y420">
        <f t="shared" si="321"/>
        <v>1622.4</v>
      </c>
      <c r="AA420">
        <v>-1</v>
      </c>
      <c r="AB420">
        <f t="shared" si="322"/>
        <v>572.36</v>
      </c>
      <c r="AC420">
        <f>ROUND(((ES420*2)),6)</f>
        <v>0</v>
      </c>
      <c r="AD420">
        <f>ROUND(((((ET420*2))-((EU420*2)))+AE420),6)</f>
        <v>156.36000000000001</v>
      </c>
      <c r="AE420">
        <f>ROUND(((EU420*2)),6)</f>
        <v>99.14</v>
      </c>
      <c r="AF420">
        <f>ROUND(((EV420*2)),6)</f>
        <v>416</v>
      </c>
      <c r="AG420">
        <f t="shared" si="323"/>
        <v>0</v>
      </c>
      <c r="AH420">
        <f>((EW420*2))</f>
        <v>0.74</v>
      </c>
      <c r="AI420">
        <f>((EX420*2))</f>
        <v>0</v>
      </c>
      <c r="AJ420">
        <f t="shared" si="324"/>
        <v>0</v>
      </c>
      <c r="AK420">
        <v>286.18</v>
      </c>
      <c r="AL420">
        <v>0</v>
      </c>
      <c r="AM420">
        <v>78.180000000000007</v>
      </c>
      <c r="AN420">
        <v>49.57</v>
      </c>
      <c r="AO420">
        <v>208</v>
      </c>
      <c r="AP420">
        <v>0</v>
      </c>
      <c r="AQ420">
        <v>0.37</v>
      </c>
      <c r="AR420">
        <v>0</v>
      </c>
      <c r="AS420">
        <v>0</v>
      </c>
      <c r="AT420">
        <v>70</v>
      </c>
      <c r="AU420">
        <v>10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3</v>
      </c>
      <c r="BE420" t="s">
        <v>3</v>
      </c>
      <c r="BF420" t="s">
        <v>3</v>
      </c>
      <c r="BG420" t="s">
        <v>3</v>
      </c>
      <c r="BH420">
        <v>0</v>
      </c>
      <c r="BI420">
        <v>4</v>
      </c>
      <c r="BJ420" t="s">
        <v>44</v>
      </c>
      <c r="BM420">
        <v>0</v>
      </c>
      <c r="BN420">
        <v>0</v>
      </c>
      <c r="BO420" t="s">
        <v>3</v>
      </c>
      <c r="BP420">
        <v>0</v>
      </c>
      <c r="BQ420">
        <v>1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3</v>
      </c>
      <c r="BZ420">
        <v>70</v>
      </c>
      <c r="CA420">
        <v>10</v>
      </c>
      <c r="CB420" t="s">
        <v>3</v>
      </c>
      <c r="CE420">
        <v>0</v>
      </c>
      <c r="CF420">
        <v>0</v>
      </c>
      <c r="CG420">
        <v>0</v>
      </c>
      <c r="CM420">
        <v>0</v>
      </c>
      <c r="CN420" t="s">
        <v>3</v>
      </c>
      <c r="CO420">
        <v>0</v>
      </c>
      <c r="CP420">
        <f t="shared" si="325"/>
        <v>22322.04</v>
      </c>
      <c r="CQ420">
        <f t="shared" si="326"/>
        <v>0</v>
      </c>
      <c r="CR420">
        <f>(((((ET420*2))*BB420-((EU420*2))*BS420)+AE420*BS420)*AV420)</f>
        <v>156.36000000000001</v>
      </c>
      <c r="CS420">
        <f t="shared" si="327"/>
        <v>99.14</v>
      </c>
      <c r="CT420">
        <f t="shared" si="328"/>
        <v>416</v>
      </c>
      <c r="CU420">
        <f t="shared" si="329"/>
        <v>0</v>
      </c>
      <c r="CV420">
        <f t="shared" si="330"/>
        <v>0.74</v>
      </c>
      <c r="CW420">
        <f t="shared" si="331"/>
        <v>0</v>
      </c>
      <c r="CX420">
        <f t="shared" si="332"/>
        <v>0</v>
      </c>
      <c r="CY420">
        <f t="shared" si="333"/>
        <v>11356.8</v>
      </c>
      <c r="CZ420">
        <f t="shared" si="334"/>
        <v>1622.4</v>
      </c>
      <c r="DC420" t="s">
        <v>3</v>
      </c>
      <c r="DD420" t="s">
        <v>253</v>
      </c>
      <c r="DE420" t="s">
        <v>253</v>
      </c>
      <c r="DF420" t="s">
        <v>253</v>
      </c>
      <c r="DG420" t="s">
        <v>253</v>
      </c>
      <c r="DH420" t="s">
        <v>3</v>
      </c>
      <c r="DI420" t="s">
        <v>253</v>
      </c>
      <c r="DJ420" t="s">
        <v>253</v>
      </c>
      <c r="DK420" t="s">
        <v>3</v>
      </c>
      <c r="DL420" t="s">
        <v>3</v>
      </c>
      <c r="DM420" t="s">
        <v>3</v>
      </c>
      <c r="DN420">
        <v>0</v>
      </c>
      <c r="DO420">
        <v>0</v>
      </c>
      <c r="DP420">
        <v>1</v>
      </c>
      <c r="DQ420">
        <v>1</v>
      </c>
      <c r="DU420">
        <v>16987630</v>
      </c>
      <c r="DV420" t="s">
        <v>39</v>
      </c>
      <c r="DW420" t="s">
        <v>39</v>
      </c>
      <c r="DX420">
        <v>1</v>
      </c>
      <c r="DZ420" t="s">
        <v>3</v>
      </c>
      <c r="EA420" t="s">
        <v>3</v>
      </c>
      <c r="EB420" t="s">
        <v>3</v>
      </c>
      <c r="EC420" t="s">
        <v>3</v>
      </c>
      <c r="EE420">
        <v>1441815344</v>
      </c>
      <c r="EF420">
        <v>1</v>
      </c>
      <c r="EG420" t="s">
        <v>21</v>
      </c>
      <c r="EH420">
        <v>0</v>
      </c>
      <c r="EI420" t="s">
        <v>3</v>
      </c>
      <c r="EJ420">
        <v>4</v>
      </c>
      <c r="EK420">
        <v>0</v>
      </c>
      <c r="EL420" t="s">
        <v>22</v>
      </c>
      <c r="EM420" t="s">
        <v>23</v>
      </c>
      <c r="EO420" t="s">
        <v>3</v>
      </c>
      <c r="EQ420">
        <v>1024</v>
      </c>
      <c r="ER420">
        <v>286.18</v>
      </c>
      <c r="ES420">
        <v>0</v>
      </c>
      <c r="ET420">
        <v>78.180000000000007</v>
      </c>
      <c r="EU420">
        <v>49.57</v>
      </c>
      <c r="EV420">
        <v>208</v>
      </c>
      <c r="EW420">
        <v>0.37</v>
      </c>
      <c r="EX420">
        <v>0</v>
      </c>
      <c r="EY420">
        <v>0</v>
      </c>
      <c r="FQ420">
        <v>0</v>
      </c>
      <c r="FR420">
        <f t="shared" si="335"/>
        <v>0</v>
      </c>
      <c r="FS420">
        <v>0</v>
      </c>
      <c r="FX420">
        <v>70</v>
      </c>
      <c r="FY420">
        <v>10</v>
      </c>
      <c r="GA420" t="s">
        <v>3</v>
      </c>
      <c r="GD420">
        <v>0</v>
      </c>
      <c r="GF420">
        <v>139218651</v>
      </c>
      <c r="GG420">
        <v>2</v>
      </c>
      <c r="GH420">
        <v>1</v>
      </c>
      <c r="GI420">
        <v>-2</v>
      </c>
      <c r="GJ420">
        <v>0</v>
      </c>
      <c r="GK420">
        <f>ROUND(R420*(R12)/100,2)</f>
        <v>4175.78</v>
      </c>
      <c r="GL420">
        <f t="shared" si="336"/>
        <v>0</v>
      </c>
      <c r="GM420">
        <f t="shared" si="337"/>
        <v>39477.019999999997</v>
      </c>
      <c r="GN420">
        <f t="shared" si="338"/>
        <v>0</v>
      </c>
      <c r="GO420">
        <f t="shared" si="339"/>
        <v>0</v>
      </c>
      <c r="GP420">
        <f t="shared" si="340"/>
        <v>39477.019999999997</v>
      </c>
      <c r="GR420">
        <v>0</v>
      </c>
      <c r="GS420">
        <v>3</v>
      </c>
      <c r="GT420">
        <v>0</v>
      </c>
      <c r="GU420" t="s">
        <v>3</v>
      </c>
      <c r="GV420">
        <f t="shared" si="341"/>
        <v>0</v>
      </c>
      <c r="GW420">
        <v>1</v>
      </c>
      <c r="GX420">
        <f t="shared" si="342"/>
        <v>0</v>
      </c>
      <c r="HA420">
        <v>0</v>
      </c>
      <c r="HB420">
        <v>0</v>
      </c>
      <c r="HC420">
        <f t="shared" si="343"/>
        <v>0</v>
      </c>
      <c r="HE420" t="s">
        <v>3</v>
      </c>
      <c r="HF420" t="s">
        <v>3</v>
      </c>
      <c r="HM420" t="s">
        <v>3</v>
      </c>
      <c r="HN420" t="s">
        <v>3</v>
      </c>
      <c r="HO420" t="s">
        <v>3</v>
      </c>
      <c r="HP420" t="s">
        <v>3</v>
      </c>
      <c r="HQ420" t="s">
        <v>3</v>
      </c>
      <c r="IK420">
        <v>0</v>
      </c>
    </row>
    <row r="421" spans="1:245" x14ac:dyDescent="0.2">
      <c r="A421">
        <v>17</v>
      </c>
      <c r="B421">
        <v>1</v>
      </c>
      <c r="D421">
        <f>ROW(EtalonRes!A245)</f>
        <v>245</v>
      </c>
      <c r="E421" t="s">
        <v>3</v>
      </c>
      <c r="F421" t="s">
        <v>76</v>
      </c>
      <c r="G421" t="s">
        <v>77</v>
      </c>
      <c r="H421" t="s">
        <v>18</v>
      </c>
      <c r="I421">
        <f>ROUND(13/10,9)</f>
        <v>1.3</v>
      </c>
      <c r="J421">
        <v>0</v>
      </c>
      <c r="K421">
        <f>ROUND(13/10,9)</f>
        <v>1.3</v>
      </c>
      <c r="O421">
        <f t="shared" si="311"/>
        <v>979.34</v>
      </c>
      <c r="P421">
        <f t="shared" si="312"/>
        <v>0</v>
      </c>
      <c r="Q421">
        <f t="shared" si="313"/>
        <v>0</v>
      </c>
      <c r="R421">
        <f t="shared" si="314"/>
        <v>0</v>
      </c>
      <c r="S421">
        <f t="shared" si="315"/>
        <v>979.34</v>
      </c>
      <c r="T421">
        <f t="shared" si="316"/>
        <v>0</v>
      </c>
      <c r="U421">
        <f t="shared" si="317"/>
        <v>1.5860000000000001</v>
      </c>
      <c r="V421">
        <f t="shared" si="318"/>
        <v>0</v>
      </c>
      <c r="W421">
        <f t="shared" si="319"/>
        <v>0</v>
      </c>
      <c r="X421">
        <f t="shared" si="320"/>
        <v>685.54</v>
      </c>
      <c r="Y421">
        <f t="shared" si="321"/>
        <v>97.93</v>
      </c>
      <c r="AA421">
        <v>-1</v>
      </c>
      <c r="AB421">
        <f t="shared" si="322"/>
        <v>753.34</v>
      </c>
      <c r="AC421">
        <f>ROUND((ES421),6)</f>
        <v>0</v>
      </c>
      <c r="AD421">
        <f>ROUND((((ET421)-(EU421))+AE421),6)</f>
        <v>0</v>
      </c>
      <c r="AE421">
        <f>ROUND((EU421),6)</f>
        <v>0</v>
      </c>
      <c r="AF421">
        <f>ROUND(((EV421*2)),6)</f>
        <v>753.34</v>
      </c>
      <c r="AG421">
        <f t="shared" si="323"/>
        <v>0</v>
      </c>
      <c r="AH421">
        <f>((EW421*2))</f>
        <v>1.22</v>
      </c>
      <c r="AI421">
        <f>(EX421)</f>
        <v>0</v>
      </c>
      <c r="AJ421">
        <f t="shared" si="324"/>
        <v>0</v>
      </c>
      <c r="AK421">
        <v>376.67</v>
      </c>
      <c r="AL421">
        <v>0</v>
      </c>
      <c r="AM421">
        <v>0</v>
      </c>
      <c r="AN421">
        <v>0</v>
      </c>
      <c r="AO421">
        <v>376.67</v>
      </c>
      <c r="AP421">
        <v>0</v>
      </c>
      <c r="AQ421">
        <v>0.61</v>
      </c>
      <c r="AR421">
        <v>0</v>
      </c>
      <c r="AS421">
        <v>0</v>
      </c>
      <c r="AT421">
        <v>70</v>
      </c>
      <c r="AU421">
        <v>10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3</v>
      </c>
      <c r="BE421" t="s">
        <v>3</v>
      </c>
      <c r="BF421" t="s">
        <v>3</v>
      </c>
      <c r="BG421" t="s">
        <v>3</v>
      </c>
      <c r="BH421">
        <v>0</v>
      </c>
      <c r="BI421">
        <v>4</v>
      </c>
      <c r="BJ421" t="s">
        <v>78</v>
      </c>
      <c r="BM421">
        <v>0</v>
      </c>
      <c r="BN421">
        <v>0</v>
      </c>
      <c r="BO421" t="s">
        <v>3</v>
      </c>
      <c r="BP421">
        <v>0</v>
      </c>
      <c r="BQ421">
        <v>1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70</v>
      </c>
      <c r="CA421">
        <v>10</v>
      </c>
      <c r="CB421" t="s">
        <v>3</v>
      </c>
      <c r="CE421">
        <v>0</v>
      </c>
      <c r="CF421">
        <v>0</v>
      </c>
      <c r="CG421">
        <v>0</v>
      </c>
      <c r="CM421">
        <v>0</v>
      </c>
      <c r="CN421" t="s">
        <v>3</v>
      </c>
      <c r="CO421">
        <v>0</v>
      </c>
      <c r="CP421">
        <f t="shared" si="325"/>
        <v>979.34</v>
      </c>
      <c r="CQ421">
        <f t="shared" si="326"/>
        <v>0</v>
      </c>
      <c r="CR421">
        <f>((((ET421)*BB421-(EU421)*BS421)+AE421*BS421)*AV421)</f>
        <v>0</v>
      </c>
      <c r="CS421">
        <f t="shared" si="327"/>
        <v>0</v>
      </c>
      <c r="CT421">
        <f t="shared" si="328"/>
        <v>753.34</v>
      </c>
      <c r="CU421">
        <f t="shared" si="329"/>
        <v>0</v>
      </c>
      <c r="CV421">
        <f t="shared" si="330"/>
        <v>1.22</v>
      </c>
      <c r="CW421">
        <f t="shared" si="331"/>
        <v>0</v>
      </c>
      <c r="CX421">
        <f t="shared" si="332"/>
        <v>0</v>
      </c>
      <c r="CY421">
        <f t="shared" si="333"/>
        <v>685.53800000000001</v>
      </c>
      <c r="CZ421">
        <f t="shared" si="334"/>
        <v>97.933999999999997</v>
      </c>
      <c r="DC421" t="s">
        <v>3</v>
      </c>
      <c r="DD421" t="s">
        <v>3</v>
      </c>
      <c r="DE421" t="s">
        <v>3</v>
      </c>
      <c r="DF421" t="s">
        <v>3</v>
      </c>
      <c r="DG421" t="s">
        <v>253</v>
      </c>
      <c r="DH421" t="s">
        <v>3</v>
      </c>
      <c r="DI421" t="s">
        <v>253</v>
      </c>
      <c r="DJ421" t="s">
        <v>3</v>
      </c>
      <c r="DK421" t="s">
        <v>3</v>
      </c>
      <c r="DL421" t="s">
        <v>3</v>
      </c>
      <c r="DM421" t="s">
        <v>3</v>
      </c>
      <c r="DN421">
        <v>0</v>
      </c>
      <c r="DO421">
        <v>0</v>
      </c>
      <c r="DP421">
        <v>1</v>
      </c>
      <c r="DQ421">
        <v>1</v>
      </c>
      <c r="DU421">
        <v>16987630</v>
      </c>
      <c r="DV421" t="s">
        <v>18</v>
      </c>
      <c r="DW421" t="s">
        <v>18</v>
      </c>
      <c r="DX421">
        <v>10</v>
      </c>
      <c r="DZ421" t="s">
        <v>3</v>
      </c>
      <c r="EA421" t="s">
        <v>3</v>
      </c>
      <c r="EB421" t="s">
        <v>3</v>
      </c>
      <c r="EC421" t="s">
        <v>3</v>
      </c>
      <c r="EE421">
        <v>1441815344</v>
      </c>
      <c r="EF421">
        <v>1</v>
      </c>
      <c r="EG421" t="s">
        <v>21</v>
      </c>
      <c r="EH421">
        <v>0</v>
      </c>
      <c r="EI421" t="s">
        <v>3</v>
      </c>
      <c r="EJ421">
        <v>4</v>
      </c>
      <c r="EK421">
        <v>0</v>
      </c>
      <c r="EL421" t="s">
        <v>22</v>
      </c>
      <c r="EM421" t="s">
        <v>23</v>
      </c>
      <c r="EO421" t="s">
        <v>3</v>
      </c>
      <c r="EQ421">
        <v>1024</v>
      </c>
      <c r="ER421">
        <v>376.67</v>
      </c>
      <c r="ES421">
        <v>0</v>
      </c>
      <c r="ET421">
        <v>0</v>
      </c>
      <c r="EU421">
        <v>0</v>
      </c>
      <c r="EV421">
        <v>376.67</v>
      </c>
      <c r="EW421">
        <v>0.61</v>
      </c>
      <c r="EX421">
        <v>0</v>
      </c>
      <c r="EY421">
        <v>0</v>
      </c>
      <c r="FQ421">
        <v>0</v>
      </c>
      <c r="FR421">
        <f t="shared" si="335"/>
        <v>0</v>
      </c>
      <c r="FS421">
        <v>0</v>
      </c>
      <c r="FX421">
        <v>70</v>
      </c>
      <c r="FY421">
        <v>10</v>
      </c>
      <c r="GA421" t="s">
        <v>3</v>
      </c>
      <c r="GD421">
        <v>0</v>
      </c>
      <c r="GF421">
        <v>357408898</v>
      </c>
      <c r="GG421">
        <v>2</v>
      </c>
      <c r="GH421">
        <v>1</v>
      </c>
      <c r="GI421">
        <v>-2</v>
      </c>
      <c r="GJ421">
        <v>0</v>
      </c>
      <c r="GK421">
        <f>ROUND(R421*(R12)/100,2)</f>
        <v>0</v>
      </c>
      <c r="GL421">
        <f t="shared" si="336"/>
        <v>0</v>
      </c>
      <c r="GM421">
        <f t="shared" si="337"/>
        <v>1762.81</v>
      </c>
      <c r="GN421">
        <f t="shared" si="338"/>
        <v>0</v>
      </c>
      <c r="GO421">
        <f t="shared" si="339"/>
        <v>0</v>
      </c>
      <c r="GP421">
        <f t="shared" si="340"/>
        <v>1762.81</v>
      </c>
      <c r="GR421">
        <v>0</v>
      </c>
      <c r="GS421">
        <v>3</v>
      </c>
      <c r="GT421">
        <v>0</v>
      </c>
      <c r="GU421" t="s">
        <v>3</v>
      </c>
      <c r="GV421">
        <f t="shared" si="341"/>
        <v>0</v>
      </c>
      <c r="GW421">
        <v>1</v>
      </c>
      <c r="GX421">
        <f t="shared" si="342"/>
        <v>0</v>
      </c>
      <c r="HA421">
        <v>0</v>
      </c>
      <c r="HB421">
        <v>0</v>
      </c>
      <c r="HC421">
        <f t="shared" si="343"/>
        <v>0</v>
      </c>
      <c r="HE421" t="s">
        <v>3</v>
      </c>
      <c r="HF421" t="s">
        <v>3</v>
      </c>
      <c r="HM421" t="s">
        <v>3</v>
      </c>
      <c r="HN421" t="s">
        <v>3</v>
      </c>
      <c r="HO421" t="s">
        <v>3</v>
      </c>
      <c r="HP421" t="s">
        <v>3</v>
      </c>
      <c r="HQ421" t="s">
        <v>3</v>
      </c>
      <c r="IK421">
        <v>0</v>
      </c>
    </row>
    <row r="422" spans="1:245" x14ac:dyDescent="0.2">
      <c r="A422">
        <v>17</v>
      </c>
      <c r="B422">
        <v>1</v>
      </c>
      <c r="D422">
        <f>ROW(EtalonRes!A248)</f>
        <v>248</v>
      </c>
      <c r="E422" t="s">
        <v>3</v>
      </c>
      <c r="F422" t="s">
        <v>79</v>
      </c>
      <c r="G422" t="s">
        <v>80</v>
      </c>
      <c r="H422" t="s">
        <v>31</v>
      </c>
      <c r="I422">
        <f>ROUND(8/100,9)</f>
        <v>0.08</v>
      </c>
      <c r="J422">
        <v>0</v>
      </c>
      <c r="K422">
        <f>ROUND(8/100,9)</f>
        <v>0.08</v>
      </c>
      <c r="O422">
        <f t="shared" si="311"/>
        <v>89833.66</v>
      </c>
      <c r="P422">
        <f t="shared" si="312"/>
        <v>1102.7</v>
      </c>
      <c r="Q422">
        <f t="shared" si="313"/>
        <v>0</v>
      </c>
      <c r="R422">
        <f t="shared" si="314"/>
        <v>0</v>
      </c>
      <c r="S422">
        <f t="shared" si="315"/>
        <v>88730.96</v>
      </c>
      <c r="T422">
        <f t="shared" si="316"/>
        <v>0</v>
      </c>
      <c r="U422">
        <f t="shared" si="317"/>
        <v>272.44</v>
      </c>
      <c r="V422">
        <f t="shared" si="318"/>
        <v>0</v>
      </c>
      <c r="W422">
        <f t="shared" si="319"/>
        <v>0</v>
      </c>
      <c r="X422">
        <f t="shared" si="320"/>
        <v>62111.67</v>
      </c>
      <c r="Y422">
        <f t="shared" si="321"/>
        <v>8873.1</v>
      </c>
      <c r="AA422">
        <v>-1</v>
      </c>
      <c r="AB422">
        <f t="shared" si="322"/>
        <v>1122920.75</v>
      </c>
      <c r="AC422">
        <f>ROUND(((ES422*245)),6)</f>
        <v>13783.7</v>
      </c>
      <c r="AD422">
        <f>ROUND((((ET422)-(EU422))+AE422),6)</f>
        <v>0</v>
      </c>
      <c r="AE422">
        <f>ROUND((EU422),6)</f>
        <v>0</v>
      </c>
      <c r="AF422">
        <f>ROUND(((EV422*245)),6)</f>
        <v>1109137.05</v>
      </c>
      <c r="AG422">
        <f t="shared" si="323"/>
        <v>0</v>
      </c>
      <c r="AH422">
        <f>((EW422*245))</f>
        <v>3405.5</v>
      </c>
      <c r="AI422">
        <f>(EX422)</f>
        <v>0</v>
      </c>
      <c r="AJ422">
        <f t="shared" si="324"/>
        <v>0</v>
      </c>
      <c r="AK422">
        <v>4583.3500000000004</v>
      </c>
      <c r="AL422">
        <v>56.26</v>
      </c>
      <c r="AM422">
        <v>0</v>
      </c>
      <c r="AN422">
        <v>0</v>
      </c>
      <c r="AO422">
        <v>4527.09</v>
      </c>
      <c r="AP422">
        <v>0</v>
      </c>
      <c r="AQ422">
        <v>13.9</v>
      </c>
      <c r="AR422">
        <v>0</v>
      </c>
      <c r="AS422">
        <v>0</v>
      </c>
      <c r="AT422">
        <v>70</v>
      </c>
      <c r="AU422">
        <v>10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3</v>
      </c>
      <c r="BE422" t="s">
        <v>3</v>
      </c>
      <c r="BF422" t="s">
        <v>3</v>
      </c>
      <c r="BG422" t="s">
        <v>3</v>
      </c>
      <c r="BH422">
        <v>0</v>
      </c>
      <c r="BI422">
        <v>4</v>
      </c>
      <c r="BJ422" t="s">
        <v>81</v>
      </c>
      <c r="BM422">
        <v>0</v>
      </c>
      <c r="BN422">
        <v>0</v>
      </c>
      <c r="BO422" t="s">
        <v>3</v>
      </c>
      <c r="BP422">
        <v>0</v>
      </c>
      <c r="BQ422">
        <v>1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3</v>
      </c>
      <c r="BZ422">
        <v>70</v>
      </c>
      <c r="CA422">
        <v>10</v>
      </c>
      <c r="CB422" t="s">
        <v>3</v>
      </c>
      <c r="CE422">
        <v>0</v>
      </c>
      <c r="CF422">
        <v>0</v>
      </c>
      <c r="CG422">
        <v>0</v>
      </c>
      <c r="CM422">
        <v>0</v>
      </c>
      <c r="CN422" t="s">
        <v>3</v>
      </c>
      <c r="CO422">
        <v>0</v>
      </c>
      <c r="CP422">
        <f t="shared" si="325"/>
        <v>89833.66</v>
      </c>
      <c r="CQ422">
        <f t="shared" si="326"/>
        <v>13783.7</v>
      </c>
      <c r="CR422">
        <f>((((ET422)*BB422-(EU422)*BS422)+AE422*BS422)*AV422)</f>
        <v>0</v>
      </c>
      <c r="CS422">
        <f t="shared" si="327"/>
        <v>0</v>
      </c>
      <c r="CT422">
        <f t="shared" si="328"/>
        <v>1109137.05</v>
      </c>
      <c r="CU422">
        <f t="shared" si="329"/>
        <v>0</v>
      </c>
      <c r="CV422">
        <f t="shared" si="330"/>
        <v>3405.5</v>
      </c>
      <c r="CW422">
        <f t="shared" si="331"/>
        <v>0</v>
      </c>
      <c r="CX422">
        <f t="shared" si="332"/>
        <v>0</v>
      </c>
      <c r="CY422">
        <f t="shared" si="333"/>
        <v>62111.671999999999</v>
      </c>
      <c r="CZ422">
        <f t="shared" si="334"/>
        <v>8873.0960000000014</v>
      </c>
      <c r="DC422" t="s">
        <v>3</v>
      </c>
      <c r="DD422" t="s">
        <v>82</v>
      </c>
      <c r="DE422" t="s">
        <v>3</v>
      </c>
      <c r="DF422" t="s">
        <v>3</v>
      </c>
      <c r="DG422" t="s">
        <v>82</v>
      </c>
      <c r="DH422" t="s">
        <v>3</v>
      </c>
      <c r="DI422" t="s">
        <v>82</v>
      </c>
      <c r="DJ422" t="s">
        <v>3</v>
      </c>
      <c r="DK422" t="s">
        <v>3</v>
      </c>
      <c r="DL422" t="s">
        <v>3</v>
      </c>
      <c r="DM422" t="s">
        <v>3</v>
      </c>
      <c r="DN422">
        <v>0</v>
      </c>
      <c r="DO422">
        <v>0</v>
      </c>
      <c r="DP422">
        <v>1</v>
      </c>
      <c r="DQ422">
        <v>1</v>
      </c>
      <c r="DU422">
        <v>16987630</v>
      </c>
      <c r="DV422" t="s">
        <v>31</v>
      </c>
      <c r="DW422" t="s">
        <v>31</v>
      </c>
      <c r="DX422">
        <v>100</v>
      </c>
      <c r="DZ422" t="s">
        <v>3</v>
      </c>
      <c r="EA422" t="s">
        <v>3</v>
      </c>
      <c r="EB422" t="s">
        <v>3</v>
      </c>
      <c r="EC422" t="s">
        <v>3</v>
      </c>
      <c r="EE422">
        <v>1441815344</v>
      </c>
      <c r="EF422">
        <v>1</v>
      </c>
      <c r="EG422" t="s">
        <v>21</v>
      </c>
      <c r="EH422">
        <v>0</v>
      </c>
      <c r="EI422" t="s">
        <v>3</v>
      </c>
      <c r="EJ422">
        <v>4</v>
      </c>
      <c r="EK422">
        <v>0</v>
      </c>
      <c r="EL422" t="s">
        <v>22</v>
      </c>
      <c r="EM422" t="s">
        <v>23</v>
      </c>
      <c r="EO422" t="s">
        <v>3</v>
      </c>
      <c r="EQ422">
        <v>1024</v>
      </c>
      <c r="ER422">
        <v>4583.3500000000004</v>
      </c>
      <c r="ES422">
        <v>56.26</v>
      </c>
      <c r="ET422">
        <v>0</v>
      </c>
      <c r="EU422">
        <v>0</v>
      </c>
      <c r="EV422">
        <v>4527.09</v>
      </c>
      <c r="EW422">
        <v>13.9</v>
      </c>
      <c r="EX422">
        <v>0</v>
      </c>
      <c r="EY422">
        <v>0</v>
      </c>
      <c r="FQ422">
        <v>0</v>
      </c>
      <c r="FR422">
        <f t="shared" si="335"/>
        <v>0</v>
      </c>
      <c r="FS422">
        <v>0</v>
      </c>
      <c r="FX422">
        <v>70</v>
      </c>
      <c r="FY422">
        <v>10</v>
      </c>
      <c r="GA422" t="s">
        <v>3</v>
      </c>
      <c r="GD422">
        <v>0</v>
      </c>
      <c r="GF422">
        <v>-414143233</v>
      </c>
      <c r="GG422">
        <v>2</v>
      </c>
      <c r="GH422">
        <v>1</v>
      </c>
      <c r="GI422">
        <v>-2</v>
      </c>
      <c r="GJ422">
        <v>0</v>
      </c>
      <c r="GK422">
        <f>ROUND(R422*(R12)/100,2)</f>
        <v>0</v>
      </c>
      <c r="GL422">
        <f t="shared" si="336"/>
        <v>0</v>
      </c>
      <c r="GM422">
        <f t="shared" si="337"/>
        <v>160818.43</v>
      </c>
      <c r="GN422">
        <f t="shared" si="338"/>
        <v>0</v>
      </c>
      <c r="GO422">
        <f t="shared" si="339"/>
        <v>0</v>
      </c>
      <c r="GP422">
        <f t="shared" si="340"/>
        <v>160818.43</v>
      </c>
      <c r="GR422">
        <v>0</v>
      </c>
      <c r="GS422">
        <v>3</v>
      </c>
      <c r="GT422">
        <v>0</v>
      </c>
      <c r="GU422" t="s">
        <v>3</v>
      </c>
      <c r="GV422">
        <f t="shared" si="341"/>
        <v>0</v>
      </c>
      <c r="GW422">
        <v>1</v>
      </c>
      <c r="GX422">
        <f t="shared" si="342"/>
        <v>0</v>
      </c>
      <c r="HA422">
        <v>0</v>
      </c>
      <c r="HB422">
        <v>0</v>
      </c>
      <c r="HC422">
        <f t="shared" si="343"/>
        <v>0</v>
      </c>
      <c r="HE422" t="s">
        <v>3</v>
      </c>
      <c r="HF422" t="s">
        <v>3</v>
      </c>
      <c r="HM422" t="s">
        <v>3</v>
      </c>
      <c r="HN422" t="s">
        <v>3</v>
      </c>
      <c r="HO422" t="s">
        <v>3</v>
      </c>
      <c r="HP422" t="s">
        <v>3</v>
      </c>
      <c r="HQ422" t="s">
        <v>3</v>
      </c>
      <c r="IK422">
        <v>0</v>
      </c>
    </row>
    <row r="423" spans="1:245" x14ac:dyDescent="0.2">
      <c r="A423">
        <v>17</v>
      </c>
      <c r="B423">
        <v>1</v>
      </c>
      <c r="D423">
        <f>ROW(EtalonRes!A251)</f>
        <v>251</v>
      </c>
      <c r="E423" t="s">
        <v>3</v>
      </c>
      <c r="F423" t="s">
        <v>83</v>
      </c>
      <c r="G423" t="s">
        <v>84</v>
      </c>
      <c r="H423" t="s">
        <v>31</v>
      </c>
      <c r="I423">
        <f>ROUND(8/100,9)</f>
        <v>0.08</v>
      </c>
      <c r="J423">
        <v>0</v>
      </c>
      <c r="K423">
        <f>ROUND(8/100,9)</f>
        <v>0.08</v>
      </c>
      <c r="O423">
        <f t="shared" si="311"/>
        <v>53128.35</v>
      </c>
      <c r="P423">
        <f t="shared" si="312"/>
        <v>1102.7</v>
      </c>
      <c r="Q423">
        <f t="shared" si="313"/>
        <v>0</v>
      </c>
      <c r="R423">
        <f t="shared" si="314"/>
        <v>0</v>
      </c>
      <c r="S423">
        <f t="shared" si="315"/>
        <v>52025.65</v>
      </c>
      <c r="T423">
        <f t="shared" si="316"/>
        <v>0</v>
      </c>
      <c r="U423">
        <f t="shared" si="317"/>
        <v>159.74</v>
      </c>
      <c r="V423">
        <f t="shared" si="318"/>
        <v>0</v>
      </c>
      <c r="W423">
        <f t="shared" si="319"/>
        <v>0</v>
      </c>
      <c r="X423">
        <f t="shared" si="320"/>
        <v>36417.96</v>
      </c>
      <c r="Y423">
        <f t="shared" si="321"/>
        <v>5202.57</v>
      </c>
      <c r="AA423">
        <v>-1</v>
      </c>
      <c r="AB423">
        <f t="shared" si="322"/>
        <v>664104.35</v>
      </c>
      <c r="AC423">
        <f>ROUND(((ES423*245)),6)</f>
        <v>13783.7</v>
      </c>
      <c r="AD423">
        <f>ROUND((((ET423)-(EU423))+AE423),6)</f>
        <v>0</v>
      </c>
      <c r="AE423">
        <f>ROUND((EU423),6)</f>
        <v>0</v>
      </c>
      <c r="AF423">
        <f>ROUND(((EV423*245)),6)</f>
        <v>650320.65</v>
      </c>
      <c r="AG423">
        <f t="shared" si="323"/>
        <v>0</v>
      </c>
      <c r="AH423">
        <f>((EW423*245))</f>
        <v>1996.75</v>
      </c>
      <c r="AI423">
        <f>(EX423)</f>
        <v>0</v>
      </c>
      <c r="AJ423">
        <f t="shared" si="324"/>
        <v>0</v>
      </c>
      <c r="AK423">
        <v>2710.63</v>
      </c>
      <c r="AL423">
        <v>56.26</v>
      </c>
      <c r="AM423">
        <v>0</v>
      </c>
      <c r="AN423">
        <v>0</v>
      </c>
      <c r="AO423">
        <v>2654.37</v>
      </c>
      <c r="AP423">
        <v>0</v>
      </c>
      <c r="AQ423">
        <v>8.15</v>
      </c>
      <c r="AR423">
        <v>0</v>
      </c>
      <c r="AS423">
        <v>0</v>
      </c>
      <c r="AT423">
        <v>70</v>
      </c>
      <c r="AU423">
        <v>10</v>
      </c>
      <c r="AV423">
        <v>1</v>
      </c>
      <c r="AW423">
        <v>1</v>
      </c>
      <c r="AZ423">
        <v>1</v>
      </c>
      <c r="BA423">
        <v>1</v>
      </c>
      <c r="BB423">
        <v>1</v>
      </c>
      <c r="BC423">
        <v>1</v>
      </c>
      <c r="BD423" t="s">
        <v>3</v>
      </c>
      <c r="BE423" t="s">
        <v>3</v>
      </c>
      <c r="BF423" t="s">
        <v>3</v>
      </c>
      <c r="BG423" t="s">
        <v>3</v>
      </c>
      <c r="BH423">
        <v>0</v>
      </c>
      <c r="BI423">
        <v>4</v>
      </c>
      <c r="BJ423" t="s">
        <v>85</v>
      </c>
      <c r="BM423">
        <v>0</v>
      </c>
      <c r="BN423">
        <v>0</v>
      </c>
      <c r="BO423" t="s">
        <v>3</v>
      </c>
      <c r="BP423">
        <v>0</v>
      </c>
      <c r="BQ423">
        <v>1</v>
      </c>
      <c r="BR423">
        <v>0</v>
      </c>
      <c r="BS423">
        <v>1</v>
      </c>
      <c r="BT423">
        <v>1</v>
      </c>
      <c r="BU423">
        <v>1</v>
      </c>
      <c r="BV423">
        <v>1</v>
      </c>
      <c r="BW423">
        <v>1</v>
      </c>
      <c r="BX423">
        <v>1</v>
      </c>
      <c r="BY423" t="s">
        <v>3</v>
      </c>
      <c r="BZ423">
        <v>70</v>
      </c>
      <c r="CA423">
        <v>10</v>
      </c>
      <c r="CB423" t="s">
        <v>3</v>
      </c>
      <c r="CE423">
        <v>0</v>
      </c>
      <c r="CF423">
        <v>0</v>
      </c>
      <c r="CG423">
        <v>0</v>
      </c>
      <c r="CM423">
        <v>0</v>
      </c>
      <c r="CN423" t="s">
        <v>3</v>
      </c>
      <c r="CO423">
        <v>0</v>
      </c>
      <c r="CP423">
        <f t="shared" si="325"/>
        <v>53128.35</v>
      </c>
      <c r="CQ423">
        <f t="shared" si="326"/>
        <v>13783.7</v>
      </c>
      <c r="CR423">
        <f>((((ET423)*BB423-(EU423)*BS423)+AE423*BS423)*AV423)</f>
        <v>0</v>
      </c>
      <c r="CS423">
        <f t="shared" si="327"/>
        <v>0</v>
      </c>
      <c r="CT423">
        <f t="shared" si="328"/>
        <v>650320.65</v>
      </c>
      <c r="CU423">
        <f t="shared" si="329"/>
        <v>0</v>
      </c>
      <c r="CV423">
        <f t="shared" si="330"/>
        <v>1996.75</v>
      </c>
      <c r="CW423">
        <f t="shared" si="331"/>
        <v>0</v>
      </c>
      <c r="CX423">
        <f t="shared" si="332"/>
        <v>0</v>
      </c>
      <c r="CY423">
        <f t="shared" si="333"/>
        <v>36417.955000000002</v>
      </c>
      <c r="CZ423">
        <f t="shared" si="334"/>
        <v>5202.5649999999996</v>
      </c>
      <c r="DC423" t="s">
        <v>3</v>
      </c>
      <c r="DD423" t="s">
        <v>82</v>
      </c>
      <c r="DE423" t="s">
        <v>3</v>
      </c>
      <c r="DF423" t="s">
        <v>3</v>
      </c>
      <c r="DG423" t="s">
        <v>82</v>
      </c>
      <c r="DH423" t="s">
        <v>3</v>
      </c>
      <c r="DI423" t="s">
        <v>82</v>
      </c>
      <c r="DJ423" t="s">
        <v>3</v>
      </c>
      <c r="DK423" t="s">
        <v>3</v>
      </c>
      <c r="DL423" t="s">
        <v>3</v>
      </c>
      <c r="DM423" t="s">
        <v>3</v>
      </c>
      <c r="DN423">
        <v>0</v>
      </c>
      <c r="DO423">
        <v>0</v>
      </c>
      <c r="DP423">
        <v>1</v>
      </c>
      <c r="DQ423">
        <v>1</v>
      </c>
      <c r="DU423">
        <v>16987630</v>
      </c>
      <c r="DV423" t="s">
        <v>31</v>
      </c>
      <c r="DW423" t="s">
        <v>31</v>
      </c>
      <c r="DX423">
        <v>100</v>
      </c>
      <c r="DZ423" t="s">
        <v>3</v>
      </c>
      <c r="EA423" t="s">
        <v>3</v>
      </c>
      <c r="EB423" t="s">
        <v>3</v>
      </c>
      <c r="EC423" t="s">
        <v>3</v>
      </c>
      <c r="EE423">
        <v>1441815344</v>
      </c>
      <c r="EF423">
        <v>1</v>
      </c>
      <c r="EG423" t="s">
        <v>21</v>
      </c>
      <c r="EH423">
        <v>0</v>
      </c>
      <c r="EI423" t="s">
        <v>3</v>
      </c>
      <c r="EJ423">
        <v>4</v>
      </c>
      <c r="EK423">
        <v>0</v>
      </c>
      <c r="EL423" t="s">
        <v>22</v>
      </c>
      <c r="EM423" t="s">
        <v>23</v>
      </c>
      <c r="EO423" t="s">
        <v>3</v>
      </c>
      <c r="EQ423">
        <v>1024</v>
      </c>
      <c r="ER423">
        <v>2710.63</v>
      </c>
      <c r="ES423">
        <v>56.26</v>
      </c>
      <c r="ET423">
        <v>0</v>
      </c>
      <c r="EU423">
        <v>0</v>
      </c>
      <c r="EV423">
        <v>2654.37</v>
      </c>
      <c r="EW423">
        <v>8.15</v>
      </c>
      <c r="EX423">
        <v>0</v>
      </c>
      <c r="EY423">
        <v>0</v>
      </c>
      <c r="FQ423">
        <v>0</v>
      </c>
      <c r="FR423">
        <f t="shared" si="335"/>
        <v>0</v>
      </c>
      <c r="FS423">
        <v>0</v>
      </c>
      <c r="FX423">
        <v>70</v>
      </c>
      <c r="FY423">
        <v>10</v>
      </c>
      <c r="GA423" t="s">
        <v>3</v>
      </c>
      <c r="GD423">
        <v>0</v>
      </c>
      <c r="GF423">
        <v>-729031507</v>
      </c>
      <c r="GG423">
        <v>2</v>
      </c>
      <c r="GH423">
        <v>1</v>
      </c>
      <c r="GI423">
        <v>-2</v>
      </c>
      <c r="GJ423">
        <v>0</v>
      </c>
      <c r="GK423">
        <f>ROUND(R423*(R12)/100,2)</f>
        <v>0</v>
      </c>
      <c r="GL423">
        <f t="shared" si="336"/>
        <v>0</v>
      </c>
      <c r="GM423">
        <f t="shared" si="337"/>
        <v>94748.88</v>
      </c>
      <c r="GN423">
        <f t="shared" si="338"/>
        <v>0</v>
      </c>
      <c r="GO423">
        <f t="shared" si="339"/>
        <v>0</v>
      </c>
      <c r="GP423">
        <f t="shared" si="340"/>
        <v>94748.88</v>
      </c>
      <c r="GR423">
        <v>0</v>
      </c>
      <c r="GS423">
        <v>3</v>
      </c>
      <c r="GT423">
        <v>0</v>
      </c>
      <c r="GU423" t="s">
        <v>3</v>
      </c>
      <c r="GV423">
        <f t="shared" si="341"/>
        <v>0</v>
      </c>
      <c r="GW423">
        <v>1</v>
      </c>
      <c r="GX423">
        <f t="shared" si="342"/>
        <v>0</v>
      </c>
      <c r="HA423">
        <v>0</v>
      </c>
      <c r="HB423">
        <v>0</v>
      </c>
      <c r="HC423">
        <f t="shared" si="343"/>
        <v>0</v>
      </c>
      <c r="HE423" t="s">
        <v>3</v>
      </c>
      <c r="HF423" t="s">
        <v>3</v>
      </c>
      <c r="HM423" t="s">
        <v>3</v>
      </c>
      <c r="HN423" t="s">
        <v>3</v>
      </c>
      <c r="HO423" t="s">
        <v>3</v>
      </c>
      <c r="HP423" t="s">
        <v>3</v>
      </c>
      <c r="HQ423" t="s">
        <v>3</v>
      </c>
      <c r="IK423">
        <v>0</v>
      </c>
    </row>
    <row r="424" spans="1:245" x14ac:dyDescent="0.2">
      <c r="A424">
        <v>17</v>
      </c>
      <c r="B424">
        <v>1</v>
      </c>
      <c r="D424">
        <f>ROW(EtalonRes!A254)</f>
        <v>254</v>
      </c>
      <c r="E424" t="s">
        <v>3</v>
      </c>
      <c r="F424" t="s">
        <v>83</v>
      </c>
      <c r="G424" t="s">
        <v>254</v>
      </c>
      <c r="H424" t="s">
        <v>31</v>
      </c>
      <c r="I424">
        <f>ROUND(8/100,9)</f>
        <v>0.08</v>
      </c>
      <c r="J424">
        <v>0</v>
      </c>
      <c r="K424">
        <f>ROUND(8/100,9)</f>
        <v>0.08</v>
      </c>
      <c r="O424">
        <f t="shared" si="311"/>
        <v>53128.35</v>
      </c>
      <c r="P424">
        <f t="shared" si="312"/>
        <v>1102.7</v>
      </c>
      <c r="Q424">
        <f t="shared" si="313"/>
        <v>0</v>
      </c>
      <c r="R424">
        <f t="shared" si="314"/>
        <v>0</v>
      </c>
      <c r="S424">
        <f t="shared" si="315"/>
        <v>52025.65</v>
      </c>
      <c r="T424">
        <f t="shared" si="316"/>
        <v>0</v>
      </c>
      <c r="U424">
        <f t="shared" si="317"/>
        <v>159.74</v>
      </c>
      <c r="V424">
        <f t="shared" si="318"/>
        <v>0</v>
      </c>
      <c r="W424">
        <f t="shared" si="319"/>
        <v>0</v>
      </c>
      <c r="X424">
        <f t="shared" si="320"/>
        <v>36417.96</v>
      </c>
      <c r="Y424">
        <f t="shared" si="321"/>
        <v>5202.57</v>
      </c>
      <c r="AA424">
        <v>-1</v>
      </c>
      <c r="AB424">
        <f t="shared" si="322"/>
        <v>664104.35</v>
      </c>
      <c r="AC424">
        <f>ROUND(((ES424*245)),6)</f>
        <v>13783.7</v>
      </c>
      <c r="AD424">
        <f>ROUND((((ET424)-(EU424))+AE424),6)</f>
        <v>0</v>
      </c>
      <c r="AE424">
        <f>ROUND((EU424),6)</f>
        <v>0</v>
      </c>
      <c r="AF424">
        <f>ROUND(((EV424*245)),6)</f>
        <v>650320.65</v>
      </c>
      <c r="AG424">
        <f t="shared" si="323"/>
        <v>0</v>
      </c>
      <c r="AH424">
        <f>((EW424*245))</f>
        <v>1996.75</v>
      </c>
      <c r="AI424">
        <f>(EX424)</f>
        <v>0</v>
      </c>
      <c r="AJ424">
        <f t="shared" si="324"/>
        <v>0</v>
      </c>
      <c r="AK424">
        <v>2710.63</v>
      </c>
      <c r="AL424">
        <v>56.26</v>
      </c>
      <c r="AM424">
        <v>0</v>
      </c>
      <c r="AN424">
        <v>0</v>
      </c>
      <c r="AO424">
        <v>2654.37</v>
      </c>
      <c r="AP424">
        <v>0</v>
      </c>
      <c r="AQ424">
        <v>8.15</v>
      </c>
      <c r="AR424">
        <v>0</v>
      </c>
      <c r="AS424">
        <v>0</v>
      </c>
      <c r="AT424">
        <v>70</v>
      </c>
      <c r="AU424">
        <v>10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3</v>
      </c>
      <c r="BE424" t="s">
        <v>3</v>
      </c>
      <c r="BF424" t="s">
        <v>3</v>
      </c>
      <c r="BG424" t="s">
        <v>3</v>
      </c>
      <c r="BH424">
        <v>0</v>
      </c>
      <c r="BI424">
        <v>4</v>
      </c>
      <c r="BJ424" t="s">
        <v>85</v>
      </c>
      <c r="BM424">
        <v>0</v>
      </c>
      <c r="BN424">
        <v>0</v>
      </c>
      <c r="BO424" t="s">
        <v>3</v>
      </c>
      <c r="BP424">
        <v>0</v>
      </c>
      <c r="BQ424">
        <v>1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3</v>
      </c>
      <c r="BZ424">
        <v>70</v>
      </c>
      <c r="CA424">
        <v>10</v>
      </c>
      <c r="CB424" t="s">
        <v>3</v>
      </c>
      <c r="CE424">
        <v>0</v>
      </c>
      <c r="CF424">
        <v>0</v>
      </c>
      <c r="CG424">
        <v>0</v>
      </c>
      <c r="CM424">
        <v>0</v>
      </c>
      <c r="CN424" t="s">
        <v>3</v>
      </c>
      <c r="CO424">
        <v>0</v>
      </c>
      <c r="CP424">
        <f t="shared" si="325"/>
        <v>53128.35</v>
      </c>
      <c r="CQ424">
        <f t="shared" si="326"/>
        <v>13783.7</v>
      </c>
      <c r="CR424">
        <f>((((ET424)*BB424-(EU424)*BS424)+AE424*BS424)*AV424)</f>
        <v>0</v>
      </c>
      <c r="CS424">
        <f t="shared" si="327"/>
        <v>0</v>
      </c>
      <c r="CT424">
        <f t="shared" si="328"/>
        <v>650320.65</v>
      </c>
      <c r="CU424">
        <f t="shared" si="329"/>
        <v>0</v>
      </c>
      <c r="CV424">
        <f t="shared" si="330"/>
        <v>1996.75</v>
      </c>
      <c r="CW424">
        <f t="shared" si="331"/>
        <v>0</v>
      </c>
      <c r="CX424">
        <f t="shared" si="332"/>
        <v>0</v>
      </c>
      <c r="CY424">
        <f t="shared" si="333"/>
        <v>36417.955000000002</v>
      </c>
      <c r="CZ424">
        <f t="shared" si="334"/>
        <v>5202.5649999999996</v>
      </c>
      <c r="DC424" t="s">
        <v>3</v>
      </c>
      <c r="DD424" t="s">
        <v>82</v>
      </c>
      <c r="DE424" t="s">
        <v>3</v>
      </c>
      <c r="DF424" t="s">
        <v>3</v>
      </c>
      <c r="DG424" t="s">
        <v>82</v>
      </c>
      <c r="DH424" t="s">
        <v>3</v>
      </c>
      <c r="DI424" t="s">
        <v>82</v>
      </c>
      <c r="DJ424" t="s">
        <v>3</v>
      </c>
      <c r="DK424" t="s">
        <v>3</v>
      </c>
      <c r="DL424" t="s">
        <v>3</v>
      </c>
      <c r="DM424" t="s">
        <v>3</v>
      </c>
      <c r="DN424">
        <v>0</v>
      </c>
      <c r="DO424">
        <v>0</v>
      </c>
      <c r="DP424">
        <v>1</v>
      </c>
      <c r="DQ424">
        <v>1</v>
      </c>
      <c r="DU424">
        <v>16987630</v>
      </c>
      <c r="DV424" t="s">
        <v>31</v>
      </c>
      <c r="DW424" t="s">
        <v>31</v>
      </c>
      <c r="DX424">
        <v>100</v>
      </c>
      <c r="DZ424" t="s">
        <v>3</v>
      </c>
      <c r="EA424" t="s">
        <v>3</v>
      </c>
      <c r="EB424" t="s">
        <v>3</v>
      </c>
      <c r="EC424" t="s">
        <v>3</v>
      </c>
      <c r="EE424">
        <v>1441815344</v>
      </c>
      <c r="EF424">
        <v>1</v>
      </c>
      <c r="EG424" t="s">
        <v>21</v>
      </c>
      <c r="EH424">
        <v>0</v>
      </c>
      <c r="EI424" t="s">
        <v>3</v>
      </c>
      <c r="EJ424">
        <v>4</v>
      </c>
      <c r="EK424">
        <v>0</v>
      </c>
      <c r="EL424" t="s">
        <v>22</v>
      </c>
      <c r="EM424" t="s">
        <v>23</v>
      </c>
      <c r="EO424" t="s">
        <v>3</v>
      </c>
      <c r="EQ424">
        <v>1024</v>
      </c>
      <c r="ER424">
        <v>2710.63</v>
      </c>
      <c r="ES424">
        <v>56.26</v>
      </c>
      <c r="ET424">
        <v>0</v>
      </c>
      <c r="EU424">
        <v>0</v>
      </c>
      <c r="EV424">
        <v>2654.37</v>
      </c>
      <c r="EW424">
        <v>8.15</v>
      </c>
      <c r="EX424">
        <v>0</v>
      </c>
      <c r="EY424">
        <v>0</v>
      </c>
      <c r="FQ424">
        <v>0</v>
      </c>
      <c r="FR424">
        <f t="shared" si="335"/>
        <v>0</v>
      </c>
      <c r="FS424">
        <v>0</v>
      </c>
      <c r="FX424">
        <v>70</v>
      </c>
      <c r="FY424">
        <v>10</v>
      </c>
      <c r="GA424" t="s">
        <v>3</v>
      </c>
      <c r="GD424">
        <v>0</v>
      </c>
      <c r="GF424">
        <v>-86013364</v>
      </c>
      <c r="GG424">
        <v>2</v>
      </c>
      <c r="GH424">
        <v>1</v>
      </c>
      <c r="GI424">
        <v>-2</v>
      </c>
      <c r="GJ424">
        <v>0</v>
      </c>
      <c r="GK424">
        <f>ROUND(R424*(R12)/100,2)</f>
        <v>0</v>
      </c>
      <c r="GL424">
        <f t="shared" si="336"/>
        <v>0</v>
      </c>
      <c r="GM424">
        <f t="shared" si="337"/>
        <v>94748.88</v>
      </c>
      <c r="GN424">
        <f t="shared" si="338"/>
        <v>0</v>
      </c>
      <c r="GO424">
        <f t="shared" si="339"/>
        <v>0</v>
      </c>
      <c r="GP424">
        <f t="shared" si="340"/>
        <v>94748.88</v>
      </c>
      <c r="GR424">
        <v>0</v>
      </c>
      <c r="GS424">
        <v>3</v>
      </c>
      <c r="GT424">
        <v>0</v>
      </c>
      <c r="GU424" t="s">
        <v>3</v>
      </c>
      <c r="GV424">
        <f t="shared" si="341"/>
        <v>0</v>
      </c>
      <c r="GW424">
        <v>1</v>
      </c>
      <c r="GX424">
        <f t="shared" si="342"/>
        <v>0</v>
      </c>
      <c r="HA424">
        <v>0</v>
      </c>
      <c r="HB424">
        <v>0</v>
      </c>
      <c r="HC424">
        <f t="shared" si="343"/>
        <v>0</v>
      </c>
      <c r="HE424" t="s">
        <v>3</v>
      </c>
      <c r="HF424" t="s">
        <v>3</v>
      </c>
      <c r="HM424" t="s">
        <v>3</v>
      </c>
      <c r="HN424" t="s">
        <v>3</v>
      </c>
      <c r="HO424" t="s">
        <v>3</v>
      </c>
      <c r="HP424" t="s">
        <v>3</v>
      </c>
      <c r="HQ424" t="s">
        <v>3</v>
      </c>
      <c r="IK424">
        <v>0</v>
      </c>
    </row>
    <row r="426" spans="1:245" x14ac:dyDescent="0.2">
      <c r="A426" s="2">
        <v>51</v>
      </c>
      <c r="B426" s="2">
        <f>B403</f>
        <v>1</v>
      </c>
      <c r="C426" s="2">
        <f>A403</f>
        <v>5</v>
      </c>
      <c r="D426" s="2">
        <f>ROW(A403)</f>
        <v>403</v>
      </c>
      <c r="E426" s="2"/>
      <c r="F426" s="2" t="str">
        <f>IF(F403&lt;&gt;"",F403,"")</f>
        <v>Новый подраздел</v>
      </c>
      <c r="G426" s="2" t="str">
        <f>IF(G403&lt;&gt;"",G403,"")</f>
        <v>Оборудование водоснабжения и водоотведения</v>
      </c>
      <c r="H426" s="2">
        <v>0</v>
      </c>
      <c r="I426" s="2"/>
      <c r="J426" s="2"/>
      <c r="K426" s="2"/>
      <c r="L426" s="2"/>
      <c r="M426" s="2"/>
      <c r="N426" s="2"/>
      <c r="O426" s="2">
        <f t="shared" ref="O426:T426" si="349">ROUND(AB426,2)</f>
        <v>4063.49</v>
      </c>
      <c r="P426" s="2">
        <f t="shared" si="349"/>
        <v>35.93</v>
      </c>
      <c r="Q426" s="2">
        <f t="shared" si="349"/>
        <v>158.84</v>
      </c>
      <c r="R426" s="2">
        <f t="shared" si="349"/>
        <v>99.16</v>
      </c>
      <c r="S426" s="2">
        <f t="shared" si="349"/>
        <v>3868.72</v>
      </c>
      <c r="T426" s="2">
        <f t="shared" si="349"/>
        <v>0</v>
      </c>
      <c r="U426" s="2">
        <f>AH426</f>
        <v>7.3698000000000006</v>
      </c>
      <c r="V426" s="2">
        <f>AI426</f>
        <v>0</v>
      </c>
      <c r="W426" s="2">
        <f>ROUND(AJ426,2)</f>
        <v>0</v>
      </c>
      <c r="X426" s="2">
        <f>ROUND(AK426,2)</f>
        <v>2708.11</v>
      </c>
      <c r="Y426" s="2">
        <f>ROUND(AL426,2)</f>
        <v>386.86</v>
      </c>
      <c r="Z426" s="2"/>
      <c r="AA426" s="2"/>
      <c r="AB426" s="2">
        <f>ROUND(SUMIF(AA407:AA424,"=1471531721",O407:O424),2)</f>
        <v>4063.49</v>
      </c>
      <c r="AC426" s="2">
        <f>ROUND(SUMIF(AA407:AA424,"=1471531721",P407:P424),2)</f>
        <v>35.93</v>
      </c>
      <c r="AD426" s="2">
        <f>ROUND(SUMIF(AA407:AA424,"=1471531721",Q407:Q424),2)</f>
        <v>158.84</v>
      </c>
      <c r="AE426" s="2">
        <f>ROUND(SUMIF(AA407:AA424,"=1471531721",R407:R424),2)</f>
        <v>99.16</v>
      </c>
      <c r="AF426" s="2">
        <f>ROUND(SUMIF(AA407:AA424,"=1471531721",S407:S424),2)</f>
        <v>3868.72</v>
      </c>
      <c r="AG426" s="2">
        <f>ROUND(SUMIF(AA407:AA424,"=1471531721",T407:T424),2)</f>
        <v>0</v>
      </c>
      <c r="AH426" s="2">
        <f>SUMIF(AA407:AA424,"=1471531721",U407:U424)</f>
        <v>7.3698000000000006</v>
      </c>
      <c r="AI426" s="2">
        <f>SUMIF(AA407:AA424,"=1471531721",V407:V424)</f>
        <v>0</v>
      </c>
      <c r="AJ426" s="2">
        <f>ROUND(SUMIF(AA407:AA424,"=1471531721",W407:W424),2)</f>
        <v>0</v>
      </c>
      <c r="AK426" s="2">
        <f>ROUND(SUMIF(AA407:AA424,"=1471531721",X407:X424),2)</f>
        <v>2708.11</v>
      </c>
      <c r="AL426" s="2">
        <f>ROUND(SUMIF(AA407:AA424,"=1471531721",Y407:Y424),2)</f>
        <v>386.86</v>
      </c>
      <c r="AM426" s="2"/>
      <c r="AN426" s="2"/>
      <c r="AO426" s="2">
        <f t="shared" ref="AO426:BD426" si="350">ROUND(BX426,2)</f>
        <v>0</v>
      </c>
      <c r="AP426" s="2">
        <f t="shared" si="350"/>
        <v>0</v>
      </c>
      <c r="AQ426" s="2">
        <f t="shared" si="350"/>
        <v>0</v>
      </c>
      <c r="AR426" s="2">
        <f t="shared" si="350"/>
        <v>7265.55</v>
      </c>
      <c r="AS426" s="2">
        <f t="shared" si="350"/>
        <v>0</v>
      </c>
      <c r="AT426" s="2">
        <f t="shared" si="350"/>
        <v>0</v>
      </c>
      <c r="AU426" s="2">
        <f t="shared" si="350"/>
        <v>7265.55</v>
      </c>
      <c r="AV426" s="2">
        <f t="shared" si="350"/>
        <v>35.93</v>
      </c>
      <c r="AW426" s="2">
        <f t="shared" si="350"/>
        <v>35.93</v>
      </c>
      <c r="AX426" s="2">
        <f t="shared" si="350"/>
        <v>0</v>
      </c>
      <c r="AY426" s="2">
        <f t="shared" si="350"/>
        <v>35.93</v>
      </c>
      <c r="AZ426" s="2">
        <f t="shared" si="350"/>
        <v>0</v>
      </c>
      <c r="BA426" s="2">
        <f t="shared" si="350"/>
        <v>0</v>
      </c>
      <c r="BB426" s="2">
        <f t="shared" si="350"/>
        <v>0</v>
      </c>
      <c r="BC426" s="2">
        <f t="shared" si="350"/>
        <v>0</v>
      </c>
      <c r="BD426" s="2">
        <f t="shared" si="350"/>
        <v>0</v>
      </c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>
        <f>ROUND(SUMIF(AA407:AA424,"=1471531721",FQ407:FQ424),2)</f>
        <v>0</v>
      </c>
      <c r="BY426" s="2">
        <f>ROUND(SUMIF(AA407:AA424,"=1471531721",FR407:FR424),2)</f>
        <v>0</v>
      </c>
      <c r="BZ426" s="2">
        <f>ROUND(SUMIF(AA407:AA424,"=1471531721",GL407:GL424),2)</f>
        <v>0</v>
      </c>
      <c r="CA426" s="2">
        <f>ROUND(SUMIF(AA407:AA424,"=1471531721",GM407:GM424),2)</f>
        <v>7265.55</v>
      </c>
      <c r="CB426" s="2">
        <f>ROUND(SUMIF(AA407:AA424,"=1471531721",GN407:GN424),2)</f>
        <v>0</v>
      </c>
      <c r="CC426" s="2">
        <f>ROUND(SUMIF(AA407:AA424,"=1471531721",GO407:GO424),2)</f>
        <v>0</v>
      </c>
      <c r="CD426" s="2">
        <f>ROUND(SUMIF(AA407:AA424,"=1471531721",GP407:GP424),2)</f>
        <v>7265.55</v>
      </c>
      <c r="CE426" s="2">
        <f>AC426-BX426</f>
        <v>35.93</v>
      </c>
      <c r="CF426" s="2">
        <f>AC426-BY426</f>
        <v>35.93</v>
      </c>
      <c r="CG426" s="2">
        <f>BX426-BZ426</f>
        <v>0</v>
      </c>
      <c r="CH426" s="2">
        <f>AC426-BX426-BY426+BZ426</f>
        <v>35.93</v>
      </c>
      <c r="CI426" s="2">
        <f>BY426-BZ426</f>
        <v>0</v>
      </c>
      <c r="CJ426" s="2">
        <f>ROUND(SUMIF(AA407:AA424,"=1471531721",GX407:GX424),2)</f>
        <v>0</v>
      </c>
      <c r="CK426" s="2">
        <f>ROUND(SUMIF(AA407:AA424,"=1471531721",GY407:GY424),2)</f>
        <v>0</v>
      </c>
      <c r="CL426" s="2">
        <f>ROUND(SUMIF(AA407:AA424,"=1471531721",GZ407:GZ424),2)</f>
        <v>0</v>
      </c>
      <c r="CM426" s="2">
        <f>ROUND(SUMIF(AA407:AA424,"=1471531721",HD407:HD424),2)</f>
        <v>0</v>
      </c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3"/>
      <c r="DH426" s="3"/>
      <c r="DI426" s="3"/>
      <c r="DJ426" s="3"/>
      <c r="DK426" s="3"/>
      <c r="DL426" s="3"/>
      <c r="DM426" s="3"/>
      <c r="DN426" s="3"/>
      <c r="DO426" s="3"/>
      <c r="DP426" s="3"/>
      <c r="DQ426" s="3"/>
      <c r="DR426" s="3"/>
      <c r="DS426" s="3"/>
      <c r="DT426" s="3"/>
      <c r="DU426" s="3"/>
      <c r="DV426" s="3"/>
      <c r="DW426" s="3"/>
      <c r="DX426" s="3"/>
      <c r="DY426" s="3"/>
      <c r="DZ426" s="3"/>
      <c r="EA426" s="3"/>
      <c r="EB426" s="3"/>
      <c r="EC426" s="3"/>
      <c r="ED426" s="3"/>
      <c r="EE426" s="3"/>
      <c r="EF426" s="3"/>
      <c r="EG426" s="3"/>
      <c r="EH426" s="3"/>
      <c r="EI426" s="3"/>
      <c r="EJ426" s="3"/>
      <c r="EK426" s="3"/>
      <c r="EL426" s="3"/>
      <c r="EM426" s="3"/>
      <c r="EN426" s="3"/>
      <c r="EO426" s="3"/>
      <c r="EP426" s="3"/>
      <c r="EQ426" s="3"/>
      <c r="ER426" s="3"/>
      <c r="ES426" s="3"/>
      <c r="ET426" s="3"/>
      <c r="EU426" s="3"/>
      <c r="EV426" s="3"/>
      <c r="EW426" s="3"/>
      <c r="EX426" s="3"/>
      <c r="EY426" s="3"/>
      <c r="EZ426" s="3"/>
      <c r="FA426" s="3"/>
      <c r="FB426" s="3"/>
      <c r="FC426" s="3"/>
      <c r="FD426" s="3"/>
      <c r="FE426" s="3"/>
      <c r="FF426" s="3"/>
      <c r="FG426" s="3"/>
      <c r="FH426" s="3"/>
      <c r="FI426" s="3"/>
      <c r="FJ426" s="3"/>
      <c r="FK426" s="3"/>
      <c r="FL426" s="3"/>
      <c r="FM426" s="3"/>
      <c r="FN426" s="3"/>
      <c r="FO426" s="3"/>
      <c r="FP426" s="3"/>
      <c r="FQ426" s="3"/>
      <c r="FR426" s="3"/>
      <c r="FS426" s="3"/>
      <c r="FT426" s="3"/>
      <c r="FU426" s="3"/>
      <c r="FV426" s="3"/>
      <c r="FW426" s="3"/>
      <c r="FX426" s="3"/>
      <c r="FY426" s="3"/>
      <c r="FZ426" s="3"/>
      <c r="GA426" s="3"/>
      <c r="GB426" s="3"/>
      <c r="GC426" s="3"/>
      <c r="GD426" s="3"/>
      <c r="GE426" s="3"/>
      <c r="GF426" s="3"/>
      <c r="GG426" s="3"/>
      <c r="GH426" s="3"/>
      <c r="GI426" s="3"/>
      <c r="GJ426" s="3"/>
      <c r="GK426" s="3"/>
      <c r="GL426" s="3"/>
      <c r="GM426" s="3"/>
      <c r="GN426" s="3"/>
      <c r="GO426" s="3"/>
      <c r="GP426" s="3"/>
      <c r="GQ426" s="3"/>
      <c r="GR426" s="3"/>
      <c r="GS426" s="3"/>
      <c r="GT426" s="3"/>
      <c r="GU426" s="3"/>
      <c r="GV426" s="3"/>
      <c r="GW426" s="3"/>
      <c r="GX426" s="3">
        <v>0</v>
      </c>
    </row>
    <row r="428" spans="1:245" x14ac:dyDescent="0.2">
      <c r="A428" s="4">
        <v>50</v>
      </c>
      <c r="B428" s="4">
        <v>0</v>
      </c>
      <c r="C428" s="4">
        <v>0</v>
      </c>
      <c r="D428" s="4">
        <v>1</v>
      </c>
      <c r="E428" s="4">
        <v>201</v>
      </c>
      <c r="F428" s="4">
        <f>ROUND(Source!O426,O428)</f>
        <v>4063.49</v>
      </c>
      <c r="G428" s="4" t="s">
        <v>86</v>
      </c>
      <c r="H428" s="4" t="s">
        <v>87</v>
      </c>
      <c r="I428" s="4"/>
      <c r="J428" s="4"/>
      <c r="K428" s="4">
        <v>201</v>
      </c>
      <c r="L428" s="4">
        <v>1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202</v>
      </c>
      <c r="F429" s="4">
        <f>ROUND(Source!P426,O429)</f>
        <v>35.93</v>
      </c>
      <c r="G429" s="4" t="s">
        <v>88</v>
      </c>
      <c r="H429" s="4" t="s">
        <v>89</v>
      </c>
      <c r="I429" s="4"/>
      <c r="J429" s="4"/>
      <c r="K429" s="4">
        <v>202</v>
      </c>
      <c r="L429" s="4">
        <v>2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222</v>
      </c>
      <c r="F430" s="4">
        <f>ROUND(Source!AO426,O430)</f>
        <v>0</v>
      </c>
      <c r="G430" s="4" t="s">
        <v>90</v>
      </c>
      <c r="H430" s="4" t="s">
        <v>91</v>
      </c>
      <c r="I430" s="4"/>
      <c r="J430" s="4"/>
      <c r="K430" s="4">
        <v>222</v>
      </c>
      <c r="L430" s="4">
        <v>3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225</v>
      </c>
      <c r="F431" s="4">
        <f>ROUND(Source!AV426,O431)</f>
        <v>35.93</v>
      </c>
      <c r="G431" s="4" t="s">
        <v>92</v>
      </c>
      <c r="H431" s="4" t="s">
        <v>93</v>
      </c>
      <c r="I431" s="4"/>
      <c r="J431" s="4"/>
      <c r="K431" s="4">
        <v>225</v>
      </c>
      <c r="L431" s="4">
        <v>4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226</v>
      </c>
      <c r="F432" s="4">
        <f>ROUND(Source!AW426,O432)</f>
        <v>35.93</v>
      </c>
      <c r="G432" s="4" t="s">
        <v>94</v>
      </c>
      <c r="H432" s="4" t="s">
        <v>95</v>
      </c>
      <c r="I432" s="4"/>
      <c r="J432" s="4"/>
      <c r="K432" s="4">
        <v>226</v>
      </c>
      <c r="L432" s="4">
        <v>5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227</v>
      </c>
      <c r="F433" s="4">
        <f>ROUND(Source!AX426,O433)</f>
        <v>0</v>
      </c>
      <c r="G433" s="4" t="s">
        <v>96</v>
      </c>
      <c r="H433" s="4" t="s">
        <v>97</v>
      </c>
      <c r="I433" s="4"/>
      <c r="J433" s="4"/>
      <c r="K433" s="4">
        <v>227</v>
      </c>
      <c r="L433" s="4">
        <v>6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228</v>
      </c>
      <c r="F434" s="4">
        <f>ROUND(Source!AY426,O434)</f>
        <v>35.93</v>
      </c>
      <c r="G434" s="4" t="s">
        <v>98</v>
      </c>
      <c r="H434" s="4" t="s">
        <v>99</v>
      </c>
      <c r="I434" s="4"/>
      <c r="J434" s="4"/>
      <c r="K434" s="4">
        <v>228</v>
      </c>
      <c r="L434" s="4">
        <v>7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216</v>
      </c>
      <c r="F435" s="4">
        <f>ROUND(Source!AP426,O435)</f>
        <v>0</v>
      </c>
      <c r="G435" s="4" t="s">
        <v>100</v>
      </c>
      <c r="H435" s="4" t="s">
        <v>101</v>
      </c>
      <c r="I435" s="4"/>
      <c r="J435" s="4"/>
      <c r="K435" s="4">
        <v>216</v>
      </c>
      <c r="L435" s="4">
        <v>8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223</v>
      </c>
      <c r="F436" s="4">
        <f>ROUND(Source!AQ426,O436)</f>
        <v>0</v>
      </c>
      <c r="G436" s="4" t="s">
        <v>102</v>
      </c>
      <c r="H436" s="4" t="s">
        <v>103</v>
      </c>
      <c r="I436" s="4"/>
      <c r="J436" s="4"/>
      <c r="K436" s="4">
        <v>223</v>
      </c>
      <c r="L436" s="4">
        <v>9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229</v>
      </c>
      <c r="F437" s="4">
        <f>ROUND(Source!AZ426,O437)</f>
        <v>0</v>
      </c>
      <c r="G437" s="4" t="s">
        <v>104</v>
      </c>
      <c r="H437" s="4" t="s">
        <v>105</v>
      </c>
      <c r="I437" s="4"/>
      <c r="J437" s="4"/>
      <c r="K437" s="4">
        <v>229</v>
      </c>
      <c r="L437" s="4">
        <v>10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203</v>
      </c>
      <c r="F438" s="4">
        <f>ROUND(Source!Q426,O438)</f>
        <v>158.84</v>
      </c>
      <c r="G438" s="4" t="s">
        <v>106</v>
      </c>
      <c r="H438" s="4" t="s">
        <v>107</v>
      </c>
      <c r="I438" s="4"/>
      <c r="J438" s="4"/>
      <c r="K438" s="4">
        <v>203</v>
      </c>
      <c r="L438" s="4">
        <v>11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231</v>
      </c>
      <c r="F439" s="4">
        <f>ROUND(Source!BB426,O439)</f>
        <v>0</v>
      </c>
      <c r="G439" s="4" t="s">
        <v>108</v>
      </c>
      <c r="H439" s="4" t="s">
        <v>109</v>
      </c>
      <c r="I439" s="4"/>
      <c r="J439" s="4"/>
      <c r="K439" s="4">
        <v>231</v>
      </c>
      <c r="L439" s="4">
        <v>12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204</v>
      </c>
      <c r="F440" s="4">
        <f>ROUND(Source!R426,O440)</f>
        <v>99.16</v>
      </c>
      <c r="G440" s="4" t="s">
        <v>110</v>
      </c>
      <c r="H440" s="4" t="s">
        <v>111</v>
      </c>
      <c r="I440" s="4"/>
      <c r="J440" s="4"/>
      <c r="K440" s="4">
        <v>204</v>
      </c>
      <c r="L440" s="4">
        <v>13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205</v>
      </c>
      <c r="F441" s="4">
        <f>ROUND(Source!S426,O441)</f>
        <v>3868.72</v>
      </c>
      <c r="G441" s="4" t="s">
        <v>112</v>
      </c>
      <c r="H441" s="4" t="s">
        <v>113</v>
      </c>
      <c r="I441" s="4"/>
      <c r="J441" s="4"/>
      <c r="K441" s="4">
        <v>205</v>
      </c>
      <c r="L441" s="4">
        <v>14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232</v>
      </c>
      <c r="F442" s="4">
        <f>ROUND(Source!BC426,O442)</f>
        <v>0</v>
      </c>
      <c r="G442" s="4" t="s">
        <v>114</v>
      </c>
      <c r="H442" s="4" t="s">
        <v>115</v>
      </c>
      <c r="I442" s="4"/>
      <c r="J442" s="4"/>
      <c r="K442" s="4">
        <v>232</v>
      </c>
      <c r="L442" s="4">
        <v>15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214</v>
      </c>
      <c r="F443" s="4">
        <f>ROUND(Source!AS426,O443)</f>
        <v>0</v>
      </c>
      <c r="G443" s="4" t="s">
        <v>116</v>
      </c>
      <c r="H443" s="4" t="s">
        <v>117</v>
      </c>
      <c r="I443" s="4"/>
      <c r="J443" s="4"/>
      <c r="K443" s="4">
        <v>214</v>
      </c>
      <c r="L443" s="4">
        <v>16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215</v>
      </c>
      <c r="F444" s="4">
        <f>ROUND(Source!AT426,O444)</f>
        <v>0</v>
      </c>
      <c r="G444" s="4" t="s">
        <v>118</v>
      </c>
      <c r="H444" s="4" t="s">
        <v>119</v>
      </c>
      <c r="I444" s="4"/>
      <c r="J444" s="4"/>
      <c r="K444" s="4">
        <v>215</v>
      </c>
      <c r="L444" s="4">
        <v>17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217</v>
      </c>
      <c r="F445" s="4">
        <f>ROUND(Source!AU426,O445)</f>
        <v>7265.55</v>
      </c>
      <c r="G445" s="4" t="s">
        <v>120</v>
      </c>
      <c r="H445" s="4" t="s">
        <v>121</v>
      </c>
      <c r="I445" s="4"/>
      <c r="J445" s="4"/>
      <c r="K445" s="4">
        <v>217</v>
      </c>
      <c r="L445" s="4">
        <v>18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230</v>
      </c>
      <c r="F446" s="4">
        <f>ROUND(Source!BA426,O446)</f>
        <v>0</v>
      </c>
      <c r="G446" s="4" t="s">
        <v>122</v>
      </c>
      <c r="H446" s="4" t="s">
        <v>123</v>
      </c>
      <c r="I446" s="4"/>
      <c r="J446" s="4"/>
      <c r="K446" s="4">
        <v>230</v>
      </c>
      <c r="L446" s="4">
        <v>19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206</v>
      </c>
      <c r="F447" s="4">
        <f>ROUND(Source!T426,O447)</f>
        <v>0</v>
      </c>
      <c r="G447" s="4" t="s">
        <v>124</v>
      </c>
      <c r="H447" s="4" t="s">
        <v>125</v>
      </c>
      <c r="I447" s="4"/>
      <c r="J447" s="4"/>
      <c r="K447" s="4">
        <v>206</v>
      </c>
      <c r="L447" s="4">
        <v>20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207</v>
      </c>
      <c r="F448" s="4">
        <f>Source!U426</f>
        <v>7.3698000000000006</v>
      </c>
      <c r="G448" s="4" t="s">
        <v>126</v>
      </c>
      <c r="H448" s="4" t="s">
        <v>127</v>
      </c>
      <c r="I448" s="4"/>
      <c r="J448" s="4"/>
      <c r="K448" s="4">
        <v>207</v>
      </c>
      <c r="L448" s="4">
        <v>21</v>
      </c>
      <c r="M448" s="4">
        <v>3</v>
      </c>
      <c r="N448" s="4" t="s">
        <v>3</v>
      </c>
      <c r="O448" s="4">
        <v>-1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45" x14ac:dyDescent="0.2">
      <c r="A449" s="4">
        <v>50</v>
      </c>
      <c r="B449" s="4">
        <v>0</v>
      </c>
      <c r="C449" s="4">
        <v>0</v>
      </c>
      <c r="D449" s="4">
        <v>1</v>
      </c>
      <c r="E449" s="4">
        <v>208</v>
      </c>
      <c r="F449" s="4">
        <f>Source!V426</f>
        <v>0</v>
      </c>
      <c r="G449" s="4" t="s">
        <v>128</v>
      </c>
      <c r="H449" s="4" t="s">
        <v>129</v>
      </c>
      <c r="I449" s="4"/>
      <c r="J449" s="4"/>
      <c r="K449" s="4">
        <v>208</v>
      </c>
      <c r="L449" s="4">
        <v>22</v>
      </c>
      <c r="M449" s="4">
        <v>3</v>
      </c>
      <c r="N449" s="4" t="s">
        <v>3</v>
      </c>
      <c r="O449" s="4">
        <v>-1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0" spans="1:245" x14ac:dyDescent="0.2">
      <c r="A450" s="4">
        <v>50</v>
      </c>
      <c r="B450" s="4">
        <v>0</v>
      </c>
      <c r="C450" s="4">
        <v>0</v>
      </c>
      <c r="D450" s="4">
        <v>1</v>
      </c>
      <c r="E450" s="4">
        <v>209</v>
      </c>
      <c r="F450" s="4">
        <f>ROUND(Source!W426,O450)</f>
        <v>0</v>
      </c>
      <c r="G450" s="4" t="s">
        <v>130</v>
      </c>
      <c r="H450" s="4" t="s">
        <v>131</v>
      </c>
      <c r="I450" s="4"/>
      <c r="J450" s="4"/>
      <c r="K450" s="4">
        <v>209</v>
      </c>
      <c r="L450" s="4">
        <v>23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45" x14ac:dyDescent="0.2">
      <c r="A451" s="4">
        <v>50</v>
      </c>
      <c r="B451" s="4">
        <v>0</v>
      </c>
      <c r="C451" s="4">
        <v>0</v>
      </c>
      <c r="D451" s="4">
        <v>1</v>
      </c>
      <c r="E451" s="4">
        <v>233</v>
      </c>
      <c r="F451" s="4">
        <f>ROUND(Source!BD426,O451)</f>
        <v>0</v>
      </c>
      <c r="G451" s="4" t="s">
        <v>132</v>
      </c>
      <c r="H451" s="4" t="s">
        <v>133</v>
      </c>
      <c r="I451" s="4"/>
      <c r="J451" s="4"/>
      <c r="K451" s="4">
        <v>233</v>
      </c>
      <c r="L451" s="4">
        <v>24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45" x14ac:dyDescent="0.2">
      <c r="A452" s="4">
        <v>50</v>
      </c>
      <c r="B452" s="4">
        <v>0</v>
      </c>
      <c r="C452" s="4">
        <v>0</v>
      </c>
      <c r="D452" s="4">
        <v>1</v>
      </c>
      <c r="E452" s="4">
        <v>210</v>
      </c>
      <c r="F452" s="4">
        <f>ROUND(Source!X426,O452)</f>
        <v>2708.11</v>
      </c>
      <c r="G452" s="4" t="s">
        <v>134</v>
      </c>
      <c r="H452" s="4" t="s">
        <v>135</v>
      </c>
      <c r="I452" s="4"/>
      <c r="J452" s="4"/>
      <c r="K452" s="4">
        <v>210</v>
      </c>
      <c r="L452" s="4">
        <v>25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45" x14ac:dyDescent="0.2">
      <c r="A453" s="4">
        <v>50</v>
      </c>
      <c r="B453" s="4">
        <v>0</v>
      </c>
      <c r="C453" s="4">
        <v>0</v>
      </c>
      <c r="D453" s="4">
        <v>1</v>
      </c>
      <c r="E453" s="4">
        <v>211</v>
      </c>
      <c r="F453" s="4">
        <f>ROUND(Source!Y426,O453)</f>
        <v>386.86</v>
      </c>
      <c r="G453" s="4" t="s">
        <v>136</v>
      </c>
      <c r="H453" s="4" t="s">
        <v>137</v>
      </c>
      <c r="I453" s="4"/>
      <c r="J453" s="4"/>
      <c r="K453" s="4">
        <v>211</v>
      </c>
      <c r="L453" s="4">
        <v>26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45" x14ac:dyDescent="0.2">
      <c r="A454" s="4">
        <v>50</v>
      </c>
      <c r="B454" s="4">
        <v>0</v>
      </c>
      <c r="C454" s="4">
        <v>0</v>
      </c>
      <c r="D454" s="4">
        <v>1</v>
      </c>
      <c r="E454" s="4">
        <v>224</v>
      </c>
      <c r="F454" s="4">
        <f>ROUND(Source!AR426,O454)</f>
        <v>7265.55</v>
      </c>
      <c r="G454" s="4" t="s">
        <v>138</v>
      </c>
      <c r="H454" s="4" t="s">
        <v>139</v>
      </c>
      <c r="I454" s="4"/>
      <c r="J454" s="4"/>
      <c r="K454" s="4">
        <v>224</v>
      </c>
      <c r="L454" s="4">
        <v>27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6" spans="1:245" x14ac:dyDescent="0.2">
      <c r="A456" s="1">
        <v>5</v>
      </c>
      <c r="B456" s="1">
        <v>1</v>
      </c>
      <c r="C456" s="1"/>
      <c r="D456" s="1">
        <f>ROW(A469)</f>
        <v>469</v>
      </c>
      <c r="E456" s="1"/>
      <c r="F456" s="1" t="s">
        <v>14</v>
      </c>
      <c r="G456" s="1" t="s">
        <v>140</v>
      </c>
      <c r="H456" s="1" t="s">
        <v>3</v>
      </c>
      <c r="I456" s="1">
        <v>0</v>
      </c>
      <c r="J456" s="1"/>
      <c r="K456" s="1">
        <v>-1</v>
      </c>
      <c r="L456" s="1"/>
      <c r="M456" s="1" t="s">
        <v>3</v>
      </c>
      <c r="N456" s="1"/>
      <c r="O456" s="1"/>
      <c r="P456" s="1"/>
      <c r="Q456" s="1"/>
      <c r="R456" s="1"/>
      <c r="S456" s="1">
        <v>0</v>
      </c>
      <c r="T456" s="1"/>
      <c r="U456" s="1" t="s">
        <v>3</v>
      </c>
      <c r="V456" s="1">
        <v>0</v>
      </c>
      <c r="W456" s="1"/>
      <c r="X456" s="1"/>
      <c r="Y456" s="1"/>
      <c r="Z456" s="1"/>
      <c r="AA456" s="1"/>
      <c r="AB456" s="1" t="s">
        <v>3</v>
      </c>
      <c r="AC456" s="1" t="s">
        <v>3</v>
      </c>
      <c r="AD456" s="1" t="s">
        <v>3</v>
      </c>
      <c r="AE456" s="1" t="s">
        <v>3</v>
      </c>
      <c r="AF456" s="1" t="s">
        <v>3</v>
      </c>
      <c r="AG456" s="1" t="s">
        <v>3</v>
      </c>
      <c r="AH456" s="1"/>
      <c r="AI456" s="1"/>
      <c r="AJ456" s="1"/>
      <c r="AK456" s="1"/>
      <c r="AL456" s="1"/>
      <c r="AM456" s="1"/>
      <c r="AN456" s="1"/>
      <c r="AO456" s="1"/>
      <c r="AP456" s="1" t="s">
        <v>3</v>
      </c>
      <c r="AQ456" s="1" t="s">
        <v>3</v>
      </c>
      <c r="AR456" s="1" t="s">
        <v>3</v>
      </c>
      <c r="AS456" s="1"/>
      <c r="AT456" s="1"/>
      <c r="AU456" s="1"/>
      <c r="AV456" s="1"/>
      <c r="AW456" s="1"/>
      <c r="AX456" s="1"/>
      <c r="AY456" s="1"/>
      <c r="AZ456" s="1" t="s">
        <v>3</v>
      </c>
      <c r="BA456" s="1"/>
      <c r="BB456" s="1" t="s">
        <v>3</v>
      </c>
      <c r="BC456" s="1" t="s">
        <v>3</v>
      </c>
      <c r="BD456" s="1" t="s">
        <v>3</v>
      </c>
      <c r="BE456" s="1" t="s">
        <v>3</v>
      </c>
      <c r="BF456" s="1" t="s">
        <v>3</v>
      </c>
      <c r="BG456" s="1" t="s">
        <v>3</v>
      </c>
      <c r="BH456" s="1" t="s">
        <v>3</v>
      </c>
      <c r="BI456" s="1" t="s">
        <v>3</v>
      </c>
      <c r="BJ456" s="1" t="s">
        <v>3</v>
      </c>
      <c r="BK456" s="1" t="s">
        <v>3</v>
      </c>
      <c r="BL456" s="1" t="s">
        <v>3</v>
      </c>
      <c r="BM456" s="1" t="s">
        <v>3</v>
      </c>
      <c r="BN456" s="1" t="s">
        <v>3</v>
      </c>
      <c r="BO456" s="1" t="s">
        <v>3</v>
      </c>
      <c r="BP456" s="1" t="s">
        <v>3</v>
      </c>
      <c r="BQ456" s="1"/>
      <c r="BR456" s="1"/>
      <c r="BS456" s="1"/>
      <c r="BT456" s="1"/>
      <c r="BU456" s="1"/>
      <c r="BV456" s="1"/>
      <c r="BW456" s="1"/>
      <c r="BX456" s="1">
        <v>0</v>
      </c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>
        <v>0</v>
      </c>
    </row>
    <row r="458" spans="1:245" x14ac:dyDescent="0.2">
      <c r="A458" s="2">
        <v>52</v>
      </c>
      <c r="B458" s="2">
        <f t="shared" ref="B458:G458" si="351">B469</f>
        <v>1</v>
      </c>
      <c r="C458" s="2">
        <f t="shared" si="351"/>
        <v>5</v>
      </c>
      <c r="D458" s="2">
        <f t="shared" si="351"/>
        <v>456</v>
      </c>
      <c r="E458" s="2">
        <f t="shared" si="351"/>
        <v>0</v>
      </c>
      <c r="F458" s="2" t="str">
        <f t="shared" si="351"/>
        <v>Новый подраздел</v>
      </c>
      <c r="G458" s="2" t="str">
        <f t="shared" si="351"/>
        <v>Техническое помещение общее на модуль</v>
      </c>
      <c r="H458" s="2"/>
      <c r="I458" s="2"/>
      <c r="J458" s="2"/>
      <c r="K458" s="2"/>
      <c r="L458" s="2"/>
      <c r="M458" s="2"/>
      <c r="N458" s="2"/>
      <c r="O458" s="2">
        <f t="shared" ref="O458:AT458" si="352">O469</f>
        <v>21352.21</v>
      </c>
      <c r="P458" s="2">
        <f t="shared" si="352"/>
        <v>6144.9</v>
      </c>
      <c r="Q458" s="2">
        <f t="shared" si="352"/>
        <v>1906.77</v>
      </c>
      <c r="R458" s="2">
        <f t="shared" si="352"/>
        <v>1193.32</v>
      </c>
      <c r="S458" s="2">
        <f t="shared" si="352"/>
        <v>13300.54</v>
      </c>
      <c r="T458" s="2">
        <f t="shared" si="352"/>
        <v>0</v>
      </c>
      <c r="U458" s="2">
        <f t="shared" si="352"/>
        <v>20.25</v>
      </c>
      <c r="V458" s="2">
        <f t="shared" si="352"/>
        <v>0</v>
      </c>
      <c r="W458" s="2">
        <f t="shared" si="352"/>
        <v>0</v>
      </c>
      <c r="X458" s="2">
        <f t="shared" si="352"/>
        <v>9310.3799999999992</v>
      </c>
      <c r="Y458" s="2">
        <f t="shared" si="352"/>
        <v>1330.04</v>
      </c>
      <c r="Z458" s="2">
        <f t="shared" si="352"/>
        <v>0</v>
      </c>
      <c r="AA458" s="2">
        <f t="shared" si="352"/>
        <v>0</v>
      </c>
      <c r="AB458" s="2">
        <f t="shared" si="352"/>
        <v>21352.21</v>
      </c>
      <c r="AC458" s="2">
        <f t="shared" si="352"/>
        <v>6144.9</v>
      </c>
      <c r="AD458" s="2">
        <f t="shared" si="352"/>
        <v>1906.77</v>
      </c>
      <c r="AE458" s="2">
        <f t="shared" si="352"/>
        <v>1193.32</v>
      </c>
      <c r="AF458" s="2">
        <f t="shared" si="352"/>
        <v>13300.54</v>
      </c>
      <c r="AG458" s="2">
        <f t="shared" si="352"/>
        <v>0</v>
      </c>
      <c r="AH458" s="2">
        <f t="shared" si="352"/>
        <v>20.25</v>
      </c>
      <c r="AI458" s="2">
        <f t="shared" si="352"/>
        <v>0</v>
      </c>
      <c r="AJ458" s="2">
        <f t="shared" si="352"/>
        <v>0</v>
      </c>
      <c r="AK458" s="2">
        <f t="shared" si="352"/>
        <v>9310.3799999999992</v>
      </c>
      <c r="AL458" s="2">
        <f t="shared" si="352"/>
        <v>1330.04</v>
      </c>
      <c r="AM458" s="2">
        <f t="shared" si="352"/>
        <v>0</v>
      </c>
      <c r="AN458" s="2">
        <f t="shared" si="352"/>
        <v>0</v>
      </c>
      <c r="AO458" s="2">
        <f t="shared" si="352"/>
        <v>0</v>
      </c>
      <c r="AP458" s="2">
        <f t="shared" si="352"/>
        <v>0</v>
      </c>
      <c r="AQ458" s="2">
        <f t="shared" si="352"/>
        <v>0</v>
      </c>
      <c r="AR458" s="2">
        <f t="shared" si="352"/>
        <v>33281.410000000003</v>
      </c>
      <c r="AS458" s="2">
        <f t="shared" si="352"/>
        <v>0</v>
      </c>
      <c r="AT458" s="2">
        <f t="shared" si="352"/>
        <v>0</v>
      </c>
      <c r="AU458" s="2">
        <f t="shared" ref="AU458:BZ458" si="353">AU469</f>
        <v>33281.410000000003</v>
      </c>
      <c r="AV458" s="2">
        <f t="shared" si="353"/>
        <v>6144.9</v>
      </c>
      <c r="AW458" s="2">
        <f t="shared" si="353"/>
        <v>6144.9</v>
      </c>
      <c r="AX458" s="2">
        <f t="shared" si="353"/>
        <v>0</v>
      </c>
      <c r="AY458" s="2">
        <f t="shared" si="353"/>
        <v>6144.9</v>
      </c>
      <c r="AZ458" s="2">
        <f t="shared" si="353"/>
        <v>0</v>
      </c>
      <c r="BA458" s="2">
        <f t="shared" si="353"/>
        <v>0</v>
      </c>
      <c r="BB458" s="2">
        <f t="shared" si="353"/>
        <v>0</v>
      </c>
      <c r="BC458" s="2">
        <f t="shared" si="353"/>
        <v>0</v>
      </c>
      <c r="BD458" s="2">
        <f t="shared" si="353"/>
        <v>0</v>
      </c>
      <c r="BE458" s="2">
        <f t="shared" si="353"/>
        <v>0</v>
      </c>
      <c r="BF458" s="2">
        <f t="shared" si="353"/>
        <v>0</v>
      </c>
      <c r="BG458" s="2">
        <f t="shared" si="353"/>
        <v>0</v>
      </c>
      <c r="BH458" s="2">
        <f t="shared" si="353"/>
        <v>0</v>
      </c>
      <c r="BI458" s="2">
        <f t="shared" si="353"/>
        <v>0</v>
      </c>
      <c r="BJ458" s="2">
        <f t="shared" si="353"/>
        <v>0</v>
      </c>
      <c r="BK458" s="2">
        <f t="shared" si="353"/>
        <v>0</v>
      </c>
      <c r="BL458" s="2">
        <f t="shared" si="353"/>
        <v>0</v>
      </c>
      <c r="BM458" s="2">
        <f t="shared" si="353"/>
        <v>0</v>
      </c>
      <c r="BN458" s="2">
        <f t="shared" si="353"/>
        <v>0</v>
      </c>
      <c r="BO458" s="2">
        <f t="shared" si="353"/>
        <v>0</v>
      </c>
      <c r="BP458" s="2">
        <f t="shared" si="353"/>
        <v>0</v>
      </c>
      <c r="BQ458" s="2">
        <f t="shared" si="353"/>
        <v>0</v>
      </c>
      <c r="BR458" s="2">
        <f t="shared" si="353"/>
        <v>0</v>
      </c>
      <c r="BS458" s="2">
        <f t="shared" si="353"/>
        <v>0</v>
      </c>
      <c r="BT458" s="2">
        <f t="shared" si="353"/>
        <v>0</v>
      </c>
      <c r="BU458" s="2">
        <f t="shared" si="353"/>
        <v>0</v>
      </c>
      <c r="BV458" s="2">
        <f t="shared" si="353"/>
        <v>0</v>
      </c>
      <c r="BW458" s="2">
        <f t="shared" si="353"/>
        <v>0</v>
      </c>
      <c r="BX458" s="2">
        <f t="shared" si="353"/>
        <v>0</v>
      </c>
      <c r="BY458" s="2">
        <f t="shared" si="353"/>
        <v>0</v>
      </c>
      <c r="BZ458" s="2">
        <f t="shared" si="353"/>
        <v>0</v>
      </c>
      <c r="CA458" s="2">
        <f t="shared" ref="CA458:DF458" si="354">CA469</f>
        <v>33281.410000000003</v>
      </c>
      <c r="CB458" s="2">
        <f t="shared" si="354"/>
        <v>0</v>
      </c>
      <c r="CC458" s="2">
        <f t="shared" si="354"/>
        <v>0</v>
      </c>
      <c r="CD458" s="2">
        <f t="shared" si="354"/>
        <v>33281.410000000003</v>
      </c>
      <c r="CE458" s="2">
        <f t="shared" si="354"/>
        <v>6144.9</v>
      </c>
      <c r="CF458" s="2">
        <f t="shared" si="354"/>
        <v>6144.9</v>
      </c>
      <c r="CG458" s="2">
        <f t="shared" si="354"/>
        <v>0</v>
      </c>
      <c r="CH458" s="2">
        <f t="shared" si="354"/>
        <v>6144.9</v>
      </c>
      <c r="CI458" s="2">
        <f t="shared" si="354"/>
        <v>0</v>
      </c>
      <c r="CJ458" s="2">
        <f t="shared" si="354"/>
        <v>0</v>
      </c>
      <c r="CK458" s="2">
        <f t="shared" si="354"/>
        <v>0</v>
      </c>
      <c r="CL458" s="2">
        <f t="shared" si="354"/>
        <v>0</v>
      </c>
      <c r="CM458" s="2">
        <f t="shared" si="354"/>
        <v>0</v>
      </c>
      <c r="CN458" s="2">
        <f t="shared" si="354"/>
        <v>0</v>
      </c>
      <c r="CO458" s="2">
        <f t="shared" si="354"/>
        <v>0</v>
      </c>
      <c r="CP458" s="2">
        <f t="shared" si="354"/>
        <v>0</v>
      </c>
      <c r="CQ458" s="2">
        <f t="shared" si="354"/>
        <v>0</v>
      </c>
      <c r="CR458" s="2">
        <f t="shared" si="354"/>
        <v>0</v>
      </c>
      <c r="CS458" s="2">
        <f t="shared" si="354"/>
        <v>0</v>
      </c>
      <c r="CT458" s="2">
        <f t="shared" si="354"/>
        <v>0</v>
      </c>
      <c r="CU458" s="2">
        <f t="shared" si="354"/>
        <v>0</v>
      </c>
      <c r="CV458" s="2">
        <f t="shared" si="354"/>
        <v>0</v>
      </c>
      <c r="CW458" s="2">
        <f t="shared" si="354"/>
        <v>0</v>
      </c>
      <c r="CX458" s="2">
        <f t="shared" si="354"/>
        <v>0</v>
      </c>
      <c r="CY458" s="2">
        <f t="shared" si="354"/>
        <v>0</v>
      </c>
      <c r="CZ458" s="2">
        <f t="shared" si="354"/>
        <v>0</v>
      </c>
      <c r="DA458" s="2">
        <f t="shared" si="354"/>
        <v>0</v>
      </c>
      <c r="DB458" s="2">
        <f t="shared" si="354"/>
        <v>0</v>
      </c>
      <c r="DC458" s="2">
        <f t="shared" si="354"/>
        <v>0</v>
      </c>
      <c r="DD458" s="2">
        <f t="shared" si="354"/>
        <v>0</v>
      </c>
      <c r="DE458" s="2">
        <f t="shared" si="354"/>
        <v>0</v>
      </c>
      <c r="DF458" s="2">
        <f t="shared" si="354"/>
        <v>0</v>
      </c>
      <c r="DG458" s="3">
        <f t="shared" ref="DG458:EL458" si="355">DG469</f>
        <v>0</v>
      </c>
      <c r="DH458" s="3">
        <f t="shared" si="355"/>
        <v>0</v>
      </c>
      <c r="DI458" s="3">
        <f t="shared" si="355"/>
        <v>0</v>
      </c>
      <c r="DJ458" s="3">
        <f t="shared" si="355"/>
        <v>0</v>
      </c>
      <c r="DK458" s="3">
        <f t="shared" si="355"/>
        <v>0</v>
      </c>
      <c r="DL458" s="3">
        <f t="shared" si="355"/>
        <v>0</v>
      </c>
      <c r="DM458" s="3">
        <f t="shared" si="355"/>
        <v>0</v>
      </c>
      <c r="DN458" s="3">
        <f t="shared" si="355"/>
        <v>0</v>
      </c>
      <c r="DO458" s="3">
        <f t="shared" si="355"/>
        <v>0</v>
      </c>
      <c r="DP458" s="3">
        <f t="shared" si="355"/>
        <v>0</v>
      </c>
      <c r="DQ458" s="3">
        <f t="shared" si="355"/>
        <v>0</v>
      </c>
      <c r="DR458" s="3">
        <f t="shared" si="355"/>
        <v>0</v>
      </c>
      <c r="DS458" s="3">
        <f t="shared" si="355"/>
        <v>0</v>
      </c>
      <c r="DT458" s="3">
        <f t="shared" si="355"/>
        <v>0</v>
      </c>
      <c r="DU458" s="3">
        <f t="shared" si="355"/>
        <v>0</v>
      </c>
      <c r="DV458" s="3">
        <f t="shared" si="355"/>
        <v>0</v>
      </c>
      <c r="DW458" s="3">
        <f t="shared" si="355"/>
        <v>0</v>
      </c>
      <c r="DX458" s="3">
        <f t="shared" si="355"/>
        <v>0</v>
      </c>
      <c r="DY458" s="3">
        <f t="shared" si="355"/>
        <v>0</v>
      </c>
      <c r="DZ458" s="3">
        <f t="shared" si="355"/>
        <v>0</v>
      </c>
      <c r="EA458" s="3">
        <f t="shared" si="355"/>
        <v>0</v>
      </c>
      <c r="EB458" s="3">
        <f t="shared" si="355"/>
        <v>0</v>
      </c>
      <c r="EC458" s="3">
        <f t="shared" si="355"/>
        <v>0</v>
      </c>
      <c r="ED458" s="3">
        <f t="shared" si="355"/>
        <v>0</v>
      </c>
      <c r="EE458" s="3">
        <f t="shared" si="355"/>
        <v>0</v>
      </c>
      <c r="EF458" s="3">
        <f t="shared" si="355"/>
        <v>0</v>
      </c>
      <c r="EG458" s="3">
        <f t="shared" si="355"/>
        <v>0</v>
      </c>
      <c r="EH458" s="3">
        <f t="shared" si="355"/>
        <v>0</v>
      </c>
      <c r="EI458" s="3">
        <f t="shared" si="355"/>
        <v>0</v>
      </c>
      <c r="EJ458" s="3">
        <f t="shared" si="355"/>
        <v>0</v>
      </c>
      <c r="EK458" s="3">
        <f t="shared" si="355"/>
        <v>0</v>
      </c>
      <c r="EL458" s="3">
        <f t="shared" si="355"/>
        <v>0</v>
      </c>
      <c r="EM458" s="3">
        <f t="shared" ref="EM458:FR458" si="356">EM469</f>
        <v>0</v>
      </c>
      <c r="EN458" s="3">
        <f t="shared" si="356"/>
        <v>0</v>
      </c>
      <c r="EO458" s="3">
        <f t="shared" si="356"/>
        <v>0</v>
      </c>
      <c r="EP458" s="3">
        <f t="shared" si="356"/>
        <v>0</v>
      </c>
      <c r="EQ458" s="3">
        <f t="shared" si="356"/>
        <v>0</v>
      </c>
      <c r="ER458" s="3">
        <f t="shared" si="356"/>
        <v>0</v>
      </c>
      <c r="ES458" s="3">
        <f t="shared" si="356"/>
        <v>0</v>
      </c>
      <c r="ET458" s="3">
        <f t="shared" si="356"/>
        <v>0</v>
      </c>
      <c r="EU458" s="3">
        <f t="shared" si="356"/>
        <v>0</v>
      </c>
      <c r="EV458" s="3">
        <f t="shared" si="356"/>
        <v>0</v>
      </c>
      <c r="EW458" s="3">
        <f t="shared" si="356"/>
        <v>0</v>
      </c>
      <c r="EX458" s="3">
        <f t="shared" si="356"/>
        <v>0</v>
      </c>
      <c r="EY458" s="3">
        <f t="shared" si="356"/>
        <v>0</v>
      </c>
      <c r="EZ458" s="3">
        <f t="shared" si="356"/>
        <v>0</v>
      </c>
      <c r="FA458" s="3">
        <f t="shared" si="356"/>
        <v>0</v>
      </c>
      <c r="FB458" s="3">
        <f t="shared" si="356"/>
        <v>0</v>
      </c>
      <c r="FC458" s="3">
        <f t="shared" si="356"/>
        <v>0</v>
      </c>
      <c r="FD458" s="3">
        <f t="shared" si="356"/>
        <v>0</v>
      </c>
      <c r="FE458" s="3">
        <f t="shared" si="356"/>
        <v>0</v>
      </c>
      <c r="FF458" s="3">
        <f t="shared" si="356"/>
        <v>0</v>
      </c>
      <c r="FG458" s="3">
        <f t="shared" si="356"/>
        <v>0</v>
      </c>
      <c r="FH458" s="3">
        <f t="shared" si="356"/>
        <v>0</v>
      </c>
      <c r="FI458" s="3">
        <f t="shared" si="356"/>
        <v>0</v>
      </c>
      <c r="FJ458" s="3">
        <f t="shared" si="356"/>
        <v>0</v>
      </c>
      <c r="FK458" s="3">
        <f t="shared" si="356"/>
        <v>0</v>
      </c>
      <c r="FL458" s="3">
        <f t="shared" si="356"/>
        <v>0</v>
      </c>
      <c r="FM458" s="3">
        <f t="shared" si="356"/>
        <v>0</v>
      </c>
      <c r="FN458" s="3">
        <f t="shared" si="356"/>
        <v>0</v>
      </c>
      <c r="FO458" s="3">
        <f t="shared" si="356"/>
        <v>0</v>
      </c>
      <c r="FP458" s="3">
        <f t="shared" si="356"/>
        <v>0</v>
      </c>
      <c r="FQ458" s="3">
        <f t="shared" si="356"/>
        <v>0</v>
      </c>
      <c r="FR458" s="3">
        <f t="shared" si="356"/>
        <v>0</v>
      </c>
      <c r="FS458" s="3">
        <f t="shared" ref="FS458:GX458" si="357">FS469</f>
        <v>0</v>
      </c>
      <c r="FT458" s="3">
        <f t="shared" si="357"/>
        <v>0</v>
      </c>
      <c r="FU458" s="3">
        <f t="shared" si="357"/>
        <v>0</v>
      </c>
      <c r="FV458" s="3">
        <f t="shared" si="357"/>
        <v>0</v>
      </c>
      <c r="FW458" s="3">
        <f t="shared" si="357"/>
        <v>0</v>
      </c>
      <c r="FX458" s="3">
        <f t="shared" si="357"/>
        <v>0</v>
      </c>
      <c r="FY458" s="3">
        <f t="shared" si="357"/>
        <v>0</v>
      </c>
      <c r="FZ458" s="3">
        <f t="shared" si="357"/>
        <v>0</v>
      </c>
      <c r="GA458" s="3">
        <f t="shared" si="357"/>
        <v>0</v>
      </c>
      <c r="GB458" s="3">
        <f t="shared" si="357"/>
        <v>0</v>
      </c>
      <c r="GC458" s="3">
        <f t="shared" si="357"/>
        <v>0</v>
      </c>
      <c r="GD458" s="3">
        <f t="shared" si="357"/>
        <v>0</v>
      </c>
      <c r="GE458" s="3">
        <f t="shared" si="357"/>
        <v>0</v>
      </c>
      <c r="GF458" s="3">
        <f t="shared" si="357"/>
        <v>0</v>
      </c>
      <c r="GG458" s="3">
        <f t="shared" si="357"/>
        <v>0</v>
      </c>
      <c r="GH458" s="3">
        <f t="shared" si="357"/>
        <v>0</v>
      </c>
      <c r="GI458" s="3">
        <f t="shared" si="357"/>
        <v>0</v>
      </c>
      <c r="GJ458" s="3">
        <f t="shared" si="357"/>
        <v>0</v>
      </c>
      <c r="GK458" s="3">
        <f t="shared" si="357"/>
        <v>0</v>
      </c>
      <c r="GL458" s="3">
        <f t="shared" si="357"/>
        <v>0</v>
      </c>
      <c r="GM458" s="3">
        <f t="shared" si="357"/>
        <v>0</v>
      </c>
      <c r="GN458" s="3">
        <f t="shared" si="357"/>
        <v>0</v>
      </c>
      <c r="GO458" s="3">
        <f t="shared" si="357"/>
        <v>0</v>
      </c>
      <c r="GP458" s="3">
        <f t="shared" si="357"/>
        <v>0</v>
      </c>
      <c r="GQ458" s="3">
        <f t="shared" si="357"/>
        <v>0</v>
      </c>
      <c r="GR458" s="3">
        <f t="shared" si="357"/>
        <v>0</v>
      </c>
      <c r="GS458" s="3">
        <f t="shared" si="357"/>
        <v>0</v>
      </c>
      <c r="GT458" s="3">
        <f t="shared" si="357"/>
        <v>0</v>
      </c>
      <c r="GU458" s="3">
        <f t="shared" si="357"/>
        <v>0</v>
      </c>
      <c r="GV458" s="3">
        <f t="shared" si="357"/>
        <v>0</v>
      </c>
      <c r="GW458" s="3">
        <f t="shared" si="357"/>
        <v>0</v>
      </c>
      <c r="GX458" s="3">
        <f t="shared" si="357"/>
        <v>0</v>
      </c>
    </row>
    <row r="460" spans="1:245" x14ac:dyDescent="0.2">
      <c r="A460">
        <v>17</v>
      </c>
      <c r="B460">
        <v>1</v>
      </c>
      <c r="D460">
        <f>ROW(EtalonRes!A257)</f>
        <v>257</v>
      </c>
      <c r="E460" t="s">
        <v>285</v>
      </c>
      <c r="F460" t="s">
        <v>142</v>
      </c>
      <c r="G460" t="s">
        <v>143</v>
      </c>
      <c r="H460" t="s">
        <v>39</v>
      </c>
      <c r="I460">
        <f>ROUND(1*1,9)</f>
        <v>1</v>
      </c>
      <c r="J460">
        <v>0</v>
      </c>
      <c r="K460">
        <f>ROUND(1*1,9)</f>
        <v>1</v>
      </c>
      <c r="O460">
        <f t="shared" ref="O460:O467" si="358">ROUND(CP460,2)</f>
        <v>2655.82</v>
      </c>
      <c r="P460">
        <f t="shared" ref="P460:P467" si="359">ROUND(CQ460*I460,2)</f>
        <v>0.63</v>
      </c>
      <c r="Q460">
        <f t="shared" ref="Q460:Q467" si="360">ROUND(CR460*I460,2)</f>
        <v>1411.16</v>
      </c>
      <c r="R460">
        <f t="shared" ref="R460:R467" si="361">ROUND(CS460*I460,2)</f>
        <v>894.77</v>
      </c>
      <c r="S460">
        <f t="shared" ref="S460:S467" si="362">ROUND(CT460*I460,2)</f>
        <v>1244.03</v>
      </c>
      <c r="T460">
        <f t="shared" ref="T460:T467" si="363">ROUND(CU460*I460,2)</f>
        <v>0</v>
      </c>
      <c r="U460">
        <f t="shared" ref="U460:U467" si="364">CV460*I460</f>
        <v>1.75</v>
      </c>
      <c r="V460">
        <f t="shared" ref="V460:V467" si="365">CW460*I460</f>
        <v>0</v>
      </c>
      <c r="W460">
        <f t="shared" ref="W460:W467" si="366">ROUND(CX460*I460,2)</f>
        <v>0</v>
      </c>
      <c r="X460">
        <f t="shared" ref="X460:Y467" si="367">ROUND(CY460,2)</f>
        <v>870.82</v>
      </c>
      <c r="Y460">
        <f t="shared" si="367"/>
        <v>124.4</v>
      </c>
      <c r="AA460">
        <v>1471531721</v>
      </c>
      <c r="AB460">
        <f t="shared" ref="AB460:AB467" si="368">ROUND((AC460+AD460+AF460),6)</f>
        <v>2655.82</v>
      </c>
      <c r="AC460">
        <f>ROUND((ES460),6)</f>
        <v>0.63</v>
      </c>
      <c r="AD460">
        <f t="shared" ref="AD460:AD465" si="369">ROUND((((ET460)-(EU460))+AE460),6)</f>
        <v>1411.16</v>
      </c>
      <c r="AE460">
        <f>ROUND((EU460),6)</f>
        <v>894.77</v>
      </c>
      <c r="AF460">
        <f>ROUND((EV460),6)</f>
        <v>1244.03</v>
      </c>
      <c r="AG460">
        <f t="shared" ref="AG460:AG467" si="370">ROUND((AP460),6)</f>
        <v>0</v>
      </c>
      <c r="AH460">
        <f>(EW460)</f>
        <v>1.75</v>
      </c>
      <c r="AI460">
        <f>(EX460)</f>
        <v>0</v>
      </c>
      <c r="AJ460">
        <f t="shared" ref="AJ460:AJ467" si="371">(AS460)</f>
        <v>0</v>
      </c>
      <c r="AK460">
        <v>2655.82</v>
      </c>
      <c r="AL460">
        <v>0.63</v>
      </c>
      <c r="AM460">
        <v>1411.16</v>
      </c>
      <c r="AN460">
        <v>894.77</v>
      </c>
      <c r="AO460">
        <v>1244.03</v>
      </c>
      <c r="AP460">
        <v>0</v>
      </c>
      <c r="AQ460">
        <v>1.75</v>
      </c>
      <c r="AR460">
        <v>0</v>
      </c>
      <c r="AS460">
        <v>0</v>
      </c>
      <c r="AT460">
        <v>70</v>
      </c>
      <c r="AU460">
        <v>10</v>
      </c>
      <c r="AV460">
        <v>1</v>
      </c>
      <c r="AW460">
        <v>1</v>
      </c>
      <c r="AZ460">
        <v>1</v>
      </c>
      <c r="BA460">
        <v>1</v>
      </c>
      <c r="BB460">
        <v>1</v>
      </c>
      <c r="BC460">
        <v>1</v>
      </c>
      <c r="BD460" t="s">
        <v>3</v>
      </c>
      <c r="BE460" t="s">
        <v>3</v>
      </c>
      <c r="BF460" t="s">
        <v>3</v>
      </c>
      <c r="BG460" t="s">
        <v>3</v>
      </c>
      <c r="BH460">
        <v>0</v>
      </c>
      <c r="BI460">
        <v>4</v>
      </c>
      <c r="BJ460" t="s">
        <v>144</v>
      </c>
      <c r="BM460">
        <v>0</v>
      </c>
      <c r="BN460">
        <v>0</v>
      </c>
      <c r="BO460" t="s">
        <v>3</v>
      </c>
      <c r="BP460">
        <v>0</v>
      </c>
      <c r="BQ460">
        <v>1</v>
      </c>
      <c r="BR460">
        <v>0</v>
      </c>
      <c r="BS460">
        <v>1</v>
      </c>
      <c r="BT460">
        <v>1</v>
      </c>
      <c r="BU460">
        <v>1</v>
      </c>
      <c r="BV460">
        <v>1</v>
      </c>
      <c r="BW460">
        <v>1</v>
      </c>
      <c r="BX460">
        <v>1</v>
      </c>
      <c r="BY460" t="s">
        <v>3</v>
      </c>
      <c r="BZ460">
        <v>70</v>
      </c>
      <c r="CA460">
        <v>10</v>
      </c>
      <c r="CB460" t="s">
        <v>3</v>
      </c>
      <c r="CE460">
        <v>0</v>
      </c>
      <c r="CF460">
        <v>0</v>
      </c>
      <c r="CG460">
        <v>0</v>
      </c>
      <c r="CM460">
        <v>0</v>
      </c>
      <c r="CN460" t="s">
        <v>3</v>
      </c>
      <c r="CO460">
        <v>0</v>
      </c>
      <c r="CP460">
        <f t="shared" ref="CP460:CP467" si="372">(P460+Q460+S460)</f>
        <v>2655.82</v>
      </c>
      <c r="CQ460">
        <f t="shared" ref="CQ460:CQ467" si="373">(AC460*BC460*AW460)</f>
        <v>0.63</v>
      </c>
      <c r="CR460">
        <f t="shared" ref="CR460:CR465" si="374">((((ET460)*BB460-(EU460)*BS460)+AE460*BS460)*AV460)</f>
        <v>1411.16</v>
      </c>
      <c r="CS460">
        <f t="shared" ref="CS460:CS467" si="375">(AE460*BS460*AV460)</f>
        <v>894.77</v>
      </c>
      <c r="CT460">
        <f t="shared" ref="CT460:CT467" si="376">(AF460*BA460*AV460)</f>
        <v>1244.03</v>
      </c>
      <c r="CU460">
        <f t="shared" ref="CU460:CU467" si="377">AG460</f>
        <v>0</v>
      </c>
      <c r="CV460">
        <f t="shared" ref="CV460:CV467" si="378">(AH460*AV460)</f>
        <v>1.75</v>
      </c>
      <c r="CW460">
        <f t="shared" ref="CW460:CX467" si="379">AI460</f>
        <v>0</v>
      </c>
      <c r="CX460">
        <f t="shared" si="379"/>
        <v>0</v>
      </c>
      <c r="CY460">
        <f t="shared" ref="CY460:CY467" si="380">((S460*BZ460)/100)</f>
        <v>870.82099999999991</v>
      </c>
      <c r="CZ460">
        <f t="shared" ref="CZ460:CZ467" si="381">((S460*CA460)/100)</f>
        <v>124.40299999999999</v>
      </c>
      <c r="DC460" t="s">
        <v>3</v>
      </c>
      <c r="DD460" t="s">
        <v>3</v>
      </c>
      <c r="DE460" t="s">
        <v>3</v>
      </c>
      <c r="DF460" t="s">
        <v>3</v>
      </c>
      <c r="DG460" t="s">
        <v>3</v>
      </c>
      <c r="DH460" t="s">
        <v>3</v>
      </c>
      <c r="DI460" t="s">
        <v>3</v>
      </c>
      <c r="DJ460" t="s">
        <v>3</v>
      </c>
      <c r="DK460" t="s">
        <v>3</v>
      </c>
      <c r="DL460" t="s">
        <v>3</v>
      </c>
      <c r="DM460" t="s">
        <v>3</v>
      </c>
      <c r="DN460">
        <v>0</v>
      </c>
      <c r="DO460">
        <v>0</v>
      </c>
      <c r="DP460">
        <v>1</v>
      </c>
      <c r="DQ460">
        <v>1</v>
      </c>
      <c r="DU460">
        <v>16987630</v>
      </c>
      <c r="DV460" t="s">
        <v>39</v>
      </c>
      <c r="DW460" t="s">
        <v>39</v>
      </c>
      <c r="DX460">
        <v>1</v>
      </c>
      <c r="DZ460" t="s">
        <v>3</v>
      </c>
      <c r="EA460" t="s">
        <v>3</v>
      </c>
      <c r="EB460" t="s">
        <v>3</v>
      </c>
      <c r="EC460" t="s">
        <v>3</v>
      </c>
      <c r="EE460">
        <v>1441815344</v>
      </c>
      <c r="EF460">
        <v>1</v>
      </c>
      <c r="EG460" t="s">
        <v>21</v>
      </c>
      <c r="EH460">
        <v>0</v>
      </c>
      <c r="EI460" t="s">
        <v>3</v>
      </c>
      <c r="EJ460">
        <v>4</v>
      </c>
      <c r="EK460">
        <v>0</v>
      </c>
      <c r="EL460" t="s">
        <v>22</v>
      </c>
      <c r="EM460" t="s">
        <v>23</v>
      </c>
      <c r="EO460" t="s">
        <v>3</v>
      </c>
      <c r="EQ460">
        <v>0</v>
      </c>
      <c r="ER460">
        <v>2655.82</v>
      </c>
      <c r="ES460">
        <v>0.63</v>
      </c>
      <c r="ET460">
        <v>1411.16</v>
      </c>
      <c r="EU460">
        <v>894.77</v>
      </c>
      <c r="EV460">
        <v>1244.03</v>
      </c>
      <c r="EW460">
        <v>1.75</v>
      </c>
      <c r="EX460">
        <v>0</v>
      </c>
      <c r="EY460">
        <v>0</v>
      </c>
      <c r="FQ460">
        <v>0</v>
      </c>
      <c r="FR460">
        <f t="shared" ref="FR460:FR467" si="382">ROUND(IF(BI460=3,GM460,0),2)</f>
        <v>0</v>
      </c>
      <c r="FS460">
        <v>0</v>
      </c>
      <c r="FX460">
        <v>70</v>
      </c>
      <c r="FY460">
        <v>10</v>
      </c>
      <c r="GA460" t="s">
        <v>3</v>
      </c>
      <c r="GD460">
        <v>0</v>
      </c>
      <c r="GF460">
        <v>-1602766855</v>
      </c>
      <c r="GG460">
        <v>2</v>
      </c>
      <c r="GH460">
        <v>1</v>
      </c>
      <c r="GI460">
        <v>-2</v>
      </c>
      <c r="GJ460">
        <v>0</v>
      </c>
      <c r="GK460">
        <f>ROUND(R460*(R12)/100,2)</f>
        <v>966.35</v>
      </c>
      <c r="GL460">
        <f t="shared" ref="GL460:GL467" si="383">ROUND(IF(AND(BH460=3,BI460=3,FS460&lt;&gt;0),P460,0),2)</f>
        <v>0</v>
      </c>
      <c r="GM460">
        <f t="shared" ref="GM460:GM467" si="384">ROUND(O460+X460+Y460+GK460,2)+GX460</f>
        <v>4617.3900000000003</v>
      </c>
      <c r="GN460">
        <f t="shared" ref="GN460:GN467" si="385">IF(OR(BI460=0,BI460=1),GM460-GX460,0)</f>
        <v>0</v>
      </c>
      <c r="GO460">
        <f t="shared" ref="GO460:GO467" si="386">IF(BI460=2,GM460-GX460,0)</f>
        <v>0</v>
      </c>
      <c r="GP460">
        <f t="shared" ref="GP460:GP467" si="387">IF(BI460=4,GM460-GX460,0)</f>
        <v>4617.3900000000003</v>
      </c>
      <c r="GR460">
        <v>0</v>
      </c>
      <c r="GS460">
        <v>3</v>
      </c>
      <c r="GT460">
        <v>0</v>
      </c>
      <c r="GU460" t="s">
        <v>3</v>
      </c>
      <c r="GV460">
        <f t="shared" ref="GV460:GV467" si="388">ROUND((GT460),6)</f>
        <v>0</v>
      </c>
      <c r="GW460">
        <v>1</v>
      </c>
      <c r="GX460">
        <f t="shared" ref="GX460:GX467" si="389">ROUND(HC460*I460,2)</f>
        <v>0</v>
      </c>
      <c r="HA460">
        <v>0</v>
      </c>
      <c r="HB460">
        <v>0</v>
      </c>
      <c r="HC460">
        <f t="shared" ref="HC460:HC467" si="390">GV460*GW460</f>
        <v>0</v>
      </c>
      <c r="HE460" t="s">
        <v>3</v>
      </c>
      <c r="HF460" t="s">
        <v>3</v>
      </c>
      <c r="HM460" t="s">
        <v>3</v>
      </c>
      <c r="HN460" t="s">
        <v>3</v>
      </c>
      <c r="HO460" t="s">
        <v>3</v>
      </c>
      <c r="HP460" t="s">
        <v>3</v>
      </c>
      <c r="HQ460" t="s">
        <v>3</v>
      </c>
      <c r="IK460">
        <v>0</v>
      </c>
    </row>
    <row r="461" spans="1:245" x14ac:dyDescent="0.2">
      <c r="A461">
        <v>17</v>
      </c>
      <c r="B461">
        <v>1</v>
      </c>
      <c r="D461">
        <f>ROW(EtalonRes!A262)</f>
        <v>262</v>
      </c>
      <c r="E461" t="s">
        <v>286</v>
      </c>
      <c r="F461" t="s">
        <v>146</v>
      </c>
      <c r="G461" t="s">
        <v>147</v>
      </c>
      <c r="H461" t="s">
        <v>39</v>
      </c>
      <c r="I461">
        <f>ROUND(1*1,9)</f>
        <v>1</v>
      </c>
      <c r="J461">
        <v>0</v>
      </c>
      <c r="K461">
        <f>ROUND(1*1,9)</f>
        <v>1</v>
      </c>
      <c r="O461">
        <f t="shared" si="358"/>
        <v>9722.5</v>
      </c>
      <c r="P461">
        <f t="shared" si="359"/>
        <v>5881.34</v>
      </c>
      <c r="Q461">
        <f t="shared" si="360"/>
        <v>26.53</v>
      </c>
      <c r="R461">
        <f t="shared" si="361"/>
        <v>1.1299999999999999</v>
      </c>
      <c r="S461">
        <f t="shared" si="362"/>
        <v>3814.63</v>
      </c>
      <c r="T461">
        <f t="shared" si="363"/>
        <v>0</v>
      </c>
      <c r="U461">
        <f t="shared" si="364"/>
        <v>5.7</v>
      </c>
      <c r="V461">
        <f t="shared" si="365"/>
        <v>0</v>
      </c>
      <c r="W461">
        <f t="shared" si="366"/>
        <v>0</v>
      </c>
      <c r="X461">
        <f t="shared" si="367"/>
        <v>2670.24</v>
      </c>
      <c r="Y461">
        <f t="shared" si="367"/>
        <v>381.46</v>
      </c>
      <c r="AA461">
        <v>1471531721</v>
      </c>
      <c r="AB461">
        <f t="shared" si="368"/>
        <v>9722.5</v>
      </c>
      <c r="AC461">
        <f>ROUND((ES461),6)</f>
        <v>5881.34</v>
      </c>
      <c r="AD461">
        <f t="shared" si="369"/>
        <v>26.53</v>
      </c>
      <c r="AE461">
        <f>ROUND((EU461),6)</f>
        <v>1.1299999999999999</v>
      </c>
      <c r="AF461">
        <f>ROUND((EV461),6)</f>
        <v>3814.63</v>
      </c>
      <c r="AG461">
        <f t="shared" si="370"/>
        <v>0</v>
      </c>
      <c r="AH461">
        <f>(EW461)</f>
        <v>5.7</v>
      </c>
      <c r="AI461">
        <f>(EX461)</f>
        <v>0</v>
      </c>
      <c r="AJ461">
        <f t="shared" si="371"/>
        <v>0</v>
      </c>
      <c r="AK461">
        <v>9722.5</v>
      </c>
      <c r="AL461">
        <v>5881.34</v>
      </c>
      <c r="AM461">
        <v>26.53</v>
      </c>
      <c r="AN461">
        <v>1.1299999999999999</v>
      </c>
      <c r="AO461">
        <v>3814.63</v>
      </c>
      <c r="AP461">
        <v>0</v>
      </c>
      <c r="AQ461">
        <v>5.7</v>
      </c>
      <c r="AR461">
        <v>0</v>
      </c>
      <c r="AS461">
        <v>0</v>
      </c>
      <c r="AT461">
        <v>70</v>
      </c>
      <c r="AU461">
        <v>10</v>
      </c>
      <c r="AV461">
        <v>1</v>
      </c>
      <c r="AW461">
        <v>1</v>
      </c>
      <c r="AZ461">
        <v>1</v>
      </c>
      <c r="BA461">
        <v>1</v>
      </c>
      <c r="BB461">
        <v>1</v>
      </c>
      <c r="BC461">
        <v>1</v>
      </c>
      <c r="BD461" t="s">
        <v>3</v>
      </c>
      <c r="BE461" t="s">
        <v>3</v>
      </c>
      <c r="BF461" t="s">
        <v>3</v>
      </c>
      <c r="BG461" t="s">
        <v>3</v>
      </c>
      <c r="BH461">
        <v>0</v>
      </c>
      <c r="BI461">
        <v>4</v>
      </c>
      <c r="BJ461" t="s">
        <v>148</v>
      </c>
      <c r="BM461">
        <v>0</v>
      </c>
      <c r="BN461">
        <v>0</v>
      </c>
      <c r="BO461" t="s">
        <v>3</v>
      </c>
      <c r="BP461">
        <v>0</v>
      </c>
      <c r="BQ461">
        <v>1</v>
      </c>
      <c r="BR461">
        <v>0</v>
      </c>
      <c r="BS461">
        <v>1</v>
      </c>
      <c r="BT461">
        <v>1</v>
      </c>
      <c r="BU461">
        <v>1</v>
      </c>
      <c r="BV461">
        <v>1</v>
      </c>
      <c r="BW461">
        <v>1</v>
      </c>
      <c r="BX461">
        <v>1</v>
      </c>
      <c r="BY461" t="s">
        <v>3</v>
      </c>
      <c r="BZ461">
        <v>70</v>
      </c>
      <c r="CA461">
        <v>10</v>
      </c>
      <c r="CB461" t="s">
        <v>3</v>
      </c>
      <c r="CE461">
        <v>0</v>
      </c>
      <c r="CF461">
        <v>0</v>
      </c>
      <c r="CG461">
        <v>0</v>
      </c>
      <c r="CM461">
        <v>0</v>
      </c>
      <c r="CN461" t="s">
        <v>3</v>
      </c>
      <c r="CO461">
        <v>0</v>
      </c>
      <c r="CP461">
        <f t="shared" si="372"/>
        <v>9722.5</v>
      </c>
      <c r="CQ461">
        <f t="shared" si="373"/>
        <v>5881.34</v>
      </c>
      <c r="CR461">
        <f t="shared" si="374"/>
        <v>26.53</v>
      </c>
      <c r="CS461">
        <f t="shared" si="375"/>
        <v>1.1299999999999999</v>
      </c>
      <c r="CT461">
        <f t="shared" si="376"/>
        <v>3814.63</v>
      </c>
      <c r="CU461">
        <f t="shared" si="377"/>
        <v>0</v>
      </c>
      <c r="CV461">
        <f t="shared" si="378"/>
        <v>5.7</v>
      </c>
      <c r="CW461">
        <f t="shared" si="379"/>
        <v>0</v>
      </c>
      <c r="CX461">
        <f t="shared" si="379"/>
        <v>0</v>
      </c>
      <c r="CY461">
        <f t="shared" si="380"/>
        <v>2670.2410000000004</v>
      </c>
      <c r="CZ461">
        <f t="shared" si="381"/>
        <v>381.46300000000002</v>
      </c>
      <c r="DC461" t="s">
        <v>3</v>
      </c>
      <c r="DD461" t="s">
        <v>3</v>
      </c>
      <c r="DE461" t="s">
        <v>3</v>
      </c>
      <c r="DF461" t="s">
        <v>3</v>
      </c>
      <c r="DG461" t="s">
        <v>3</v>
      </c>
      <c r="DH461" t="s">
        <v>3</v>
      </c>
      <c r="DI461" t="s">
        <v>3</v>
      </c>
      <c r="DJ461" t="s">
        <v>3</v>
      </c>
      <c r="DK461" t="s">
        <v>3</v>
      </c>
      <c r="DL461" t="s">
        <v>3</v>
      </c>
      <c r="DM461" t="s">
        <v>3</v>
      </c>
      <c r="DN461">
        <v>0</v>
      </c>
      <c r="DO461">
        <v>0</v>
      </c>
      <c r="DP461">
        <v>1</v>
      </c>
      <c r="DQ461">
        <v>1</v>
      </c>
      <c r="DU461">
        <v>16987630</v>
      </c>
      <c r="DV461" t="s">
        <v>39</v>
      </c>
      <c r="DW461" t="s">
        <v>39</v>
      </c>
      <c r="DX461">
        <v>1</v>
      </c>
      <c r="DZ461" t="s">
        <v>3</v>
      </c>
      <c r="EA461" t="s">
        <v>3</v>
      </c>
      <c r="EB461" t="s">
        <v>3</v>
      </c>
      <c r="EC461" t="s">
        <v>3</v>
      </c>
      <c r="EE461">
        <v>1441815344</v>
      </c>
      <c r="EF461">
        <v>1</v>
      </c>
      <c r="EG461" t="s">
        <v>21</v>
      </c>
      <c r="EH461">
        <v>0</v>
      </c>
      <c r="EI461" t="s">
        <v>3</v>
      </c>
      <c r="EJ461">
        <v>4</v>
      </c>
      <c r="EK461">
        <v>0</v>
      </c>
      <c r="EL461" t="s">
        <v>22</v>
      </c>
      <c r="EM461" t="s">
        <v>23</v>
      </c>
      <c r="EO461" t="s">
        <v>3</v>
      </c>
      <c r="EQ461">
        <v>0</v>
      </c>
      <c r="ER461">
        <v>9722.5</v>
      </c>
      <c r="ES461">
        <v>5881.34</v>
      </c>
      <c r="ET461">
        <v>26.53</v>
      </c>
      <c r="EU461">
        <v>1.1299999999999999</v>
      </c>
      <c r="EV461">
        <v>3814.63</v>
      </c>
      <c r="EW461">
        <v>5.7</v>
      </c>
      <c r="EX461">
        <v>0</v>
      </c>
      <c r="EY461">
        <v>0</v>
      </c>
      <c r="FQ461">
        <v>0</v>
      </c>
      <c r="FR461">
        <f t="shared" si="382"/>
        <v>0</v>
      </c>
      <c r="FS461">
        <v>0</v>
      </c>
      <c r="FX461">
        <v>70</v>
      </c>
      <c r="FY461">
        <v>10</v>
      </c>
      <c r="GA461" t="s">
        <v>3</v>
      </c>
      <c r="GD461">
        <v>0</v>
      </c>
      <c r="GF461">
        <v>-929184264</v>
      </c>
      <c r="GG461">
        <v>2</v>
      </c>
      <c r="GH461">
        <v>1</v>
      </c>
      <c r="GI461">
        <v>-2</v>
      </c>
      <c r="GJ461">
        <v>0</v>
      </c>
      <c r="GK461">
        <f>ROUND(R461*(R12)/100,2)</f>
        <v>1.22</v>
      </c>
      <c r="GL461">
        <f t="shared" si="383"/>
        <v>0</v>
      </c>
      <c r="GM461">
        <f t="shared" si="384"/>
        <v>12775.42</v>
      </c>
      <c r="GN461">
        <f t="shared" si="385"/>
        <v>0</v>
      </c>
      <c r="GO461">
        <f t="shared" si="386"/>
        <v>0</v>
      </c>
      <c r="GP461">
        <f t="shared" si="387"/>
        <v>12775.42</v>
      </c>
      <c r="GR461">
        <v>0</v>
      </c>
      <c r="GS461">
        <v>3</v>
      </c>
      <c r="GT461">
        <v>0</v>
      </c>
      <c r="GU461" t="s">
        <v>3</v>
      </c>
      <c r="GV461">
        <f t="shared" si="388"/>
        <v>0</v>
      </c>
      <c r="GW461">
        <v>1</v>
      </c>
      <c r="GX461">
        <f t="shared" si="389"/>
        <v>0</v>
      </c>
      <c r="HA461">
        <v>0</v>
      </c>
      <c r="HB461">
        <v>0</v>
      </c>
      <c r="HC461">
        <f t="shared" si="390"/>
        <v>0</v>
      </c>
      <c r="HE461" t="s">
        <v>3</v>
      </c>
      <c r="HF461" t="s">
        <v>3</v>
      </c>
      <c r="HM461" t="s">
        <v>3</v>
      </c>
      <c r="HN461" t="s">
        <v>3</v>
      </c>
      <c r="HO461" t="s">
        <v>3</v>
      </c>
      <c r="HP461" t="s">
        <v>3</v>
      </c>
      <c r="HQ461" t="s">
        <v>3</v>
      </c>
      <c r="IK461">
        <v>0</v>
      </c>
    </row>
    <row r="462" spans="1:245" x14ac:dyDescent="0.2">
      <c r="A462">
        <v>17</v>
      </c>
      <c r="B462">
        <v>1</v>
      </c>
      <c r="D462">
        <f>ROW(EtalonRes!A267)</f>
        <v>267</v>
      </c>
      <c r="E462" t="s">
        <v>3</v>
      </c>
      <c r="F462" t="s">
        <v>157</v>
      </c>
      <c r="G462" t="s">
        <v>158</v>
      </c>
      <c r="H462" t="s">
        <v>39</v>
      </c>
      <c r="I462">
        <v>13</v>
      </c>
      <c r="J462">
        <v>0</v>
      </c>
      <c r="K462">
        <v>13</v>
      </c>
      <c r="O462">
        <f t="shared" si="358"/>
        <v>578852.04</v>
      </c>
      <c r="P462">
        <f t="shared" si="359"/>
        <v>228057.96</v>
      </c>
      <c r="Q462">
        <f t="shared" si="360"/>
        <v>0</v>
      </c>
      <c r="R462">
        <f t="shared" si="361"/>
        <v>0</v>
      </c>
      <c r="S462">
        <f t="shared" si="362"/>
        <v>350794.08</v>
      </c>
      <c r="T462">
        <f t="shared" si="363"/>
        <v>0</v>
      </c>
      <c r="U462">
        <f t="shared" si="364"/>
        <v>624</v>
      </c>
      <c r="V462">
        <f t="shared" si="365"/>
        <v>0</v>
      </c>
      <c r="W462">
        <f t="shared" si="366"/>
        <v>0</v>
      </c>
      <c r="X462">
        <f t="shared" si="367"/>
        <v>245555.86</v>
      </c>
      <c r="Y462">
        <f t="shared" si="367"/>
        <v>35079.410000000003</v>
      </c>
      <c r="AA462">
        <v>-1</v>
      </c>
      <c r="AB462">
        <f t="shared" si="368"/>
        <v>44527.08</v>
      </c>
      <c r="AC462">
        <f>ROUND(((ES462*3)),6)</f>
        <v>17542.919999999998</v>
      </c>
      <c r="AD462">
        <f t="shared" si="369"/>
        <v>0</v>
      </c>
      <c r="AE462">
        <f>ROUND((EU462),6)</f>
        <v>0</v>
      </c>
      <c r="AF462">
        <f>ROUND(((EV462*3)),6)</f>
        <v>26984.16</v>
      </c>
      <c r="AG462">
        <f t="shared" si="370"/>
        <v>0</v>
      </c>
      <c r="AH462">
        <f>((EW462*3))</f>
        <v>48</v>
      </c>
      <c r="AI462">
        <f>(EX462)</f>
        <v>0</v>
      </c>
      <c r="AJ462">
        <f t="shared" si="371"/>
        <v>0</v>
      </c>
      <c r="AK462">
        <v>14842.36</v>
      </c>
      <c r="AL462">
        <v>5847.64</v>
      </c>
      <c r="AM462">
        <v>0</v>
      </c>
      <c r="AN462">
        <v>0</v>
      </c>
      <c r="AO462">
        <v>8994.7199999999993</v>
      </c>
      <c r="AP462">
        <v>0</v>
      </c>
      <c r="AQ462">
        <v>16</v>
      </c>
      <c r="AR462">
        <v>0</v>
      </c>
      <c r="AS462">
        <v>0</v>
      </c>
      <c r="AT462">
        <v>70</v>
      </c>
      <c r="AU462">
        <v>10</v>
      </c>
      <c r="AV462">
        <v>1</v>
      </c>
      <c r="AW462">
        <v>1</v>
      </c>
      <c r="AZ462">
        <v>1</v>
      </c>
      <c r="BA462">
        <v>1</v>
      </c>
      <c r="BB462">
        <v>1</v>
      </c>
      <c r="BC462">
        <v>1</v>
      </c>
      <c r="BD462" t="s">
        <v>3</v>
      </c>
      <c r="BE462" t="s">
        <v>3</v>
      </c>
      <c r="BF462" t="s">
        <v>3</v>
      </c>
      <c r="BG462" t="s">
        <v>3</v>
      </c>
      <c r="BH462">
        <v>0</v>
      </c>
      <c r="BI462">
        <v>4</v>
      </c>
      <c r="BJ462" t="s">
        <v>159</v>
      </c>
      <c r="BM462">
        <v>0</v>
      </c>
      <c r="BN462">
        <v>0</v>
      </c>
      <c r="BO462" t="s">
        <v>3</v>
      </c>
      <c r="BP462">
        <v>0</v>
      </c>
      <c r="BQ462">
        <v>1</v>
      </c>
      <c r="BR462">
        <v>0</v>
      </c>
      <c r="BS462">
        <v>1</v>
      </c>
      <c r="BT462">
        <v>1</v>
      </c>
      <c r="BU462">
        <v>1</v>
      </c>
      <c r="BV462">
        <v>1</v>
      </c>
      <c r="BW462">
        <v>1</v>
      </c>
      <c r="BX462">
        <v>1</v>
      </c>
      <c r="BY462" t="s">
        <v>3</v>
      </c>
      <c r="BZ462">
        <v>70</v>
      </c>
      <c r="CA462">
        <v>10</v>
      </c>
      <c r="CB462" t="s">
        <v>3</v>
      </c>
      <c r="CE462">
        <v>0</v>
      </c>
      <c r="CF462">
        <v>0</v>
      </c>
      <c r="CG462">
        <v>0</v>
      </c>
      <c r="CM462">
        <v>0</v>
      </c>
      <c r="CN462" t="s">
        <v>3</v>
      </c>
      <c r="CO462">
        <v>0</v>
      </c>
      <c r="CP462">
        <f t="shared" si="372"/>
        <v>578852.04</v>
      </c>
      <c r="CQ462">
        <f t="shared" si="373"/>
        <v>17542.919999999998</v>
      </c>
      <c r="CR462">
        <f t="shared" si="374"/>
        <v>0</v>
      </c>
      <c r="CS462">
        <f t="shared" si="375"/>
        <v>0</v>
      </c>
      <c r="CT462">
        <f t="shared" si="376"/>
        <v>26984.16</v>
      </c>
      <c r="CU462">
        <f t="shared" si="377"/>
        <v>0</v>
      </c>
      <c r="CV462">
        <f t="shared" si="378"/>
        <v>48</v>
      </c>
      <c r="CW462">
        <f t="shared" si="379"/>
        <v>0</v>
      </c>
      <c r="CX462">
        <f t="shared" si="379"/>
        <v>0</v>
      </c>
      <c r="CY462">
        <f t="shared" si="380"/>
        <v>245555.85600000003</v>
      </c>
      <c r="CZ462">
        <f t="shared" si="381"/>
        <v>35079.408000000003</v>
      </c>
      <c r="DC462" t="s">
        <v>3</v>
      </c>
      <c r="DD462" t="s">
        <v>156</v>
      </c>
      <c r="DE462" t="s">
        <v>3</v>
      </c>
      <c r="DF462" t="s">
        <v>3</v>
      </c>
      <c r="DG462" t="s">
        <v>156</v>
      </c>
      <c r="DH462" t="s">
        <v>3</v>
      </c>
      <c r="DI462" t="s">
        <v>156</v>
      </c>
      <c r="DJ462" t="s">
        <v>3</v>
      </c>
      <c r="DK462" t="s">
        <v>3</v>
      </c>
      <c r="DL462" t="s">
        <v>3</v>
      </c>
      <c r="DM462" t="s">
        <v>3</v>
      </c>
      <c r="DN462">
        <v>0</v>
      </c>
      <c r="DO462">
        <v>0</v>
      </c>
      <c r="DP462">
        <v>1</v>
      </c>
      <c r="DQ462">
        <v>1</v>
      </c>
      <c r="DU462">
        <v>16987630</v>
      </c>
      <c r="DV462" t="s">
        <v>39</v>
      </c>
      <c r="DW462" t="s">
        <v>39</v>
      </c>
      <c r="DX462">
        <v>1</v>
      </c>
      <c r="DZ462" t="s">
        <v>3</v>
      </c>
      <c r="EA462" t="s">
        <v>3</v>
      </c>
      <c r="EB462" t="s">
        <v>3</v>
      </c>
      <c r="EC462" t="s">
        <v>3</v>
      </c>
      <c r="EE462">
        <v>1441815344</v>
      </c>
      <c r="EF462">
        <v>1</v>
      </c>
      <c r="EG462" t="s">
        <v>21</v>
      </c>
      <c r="EH462">
        <v>0</v>
      </c>
      <c r="EI462" t="s">
        <v>3</v>
      </c>
      <c r="EJ462">
        <v>4</v>
      </c>
      <c r="EK462">
        <v>0</v>
      </c>
      <c r="EL462" t="s">
        <v>22</v>
      </c>
      <c r="EM462" t="s">
        <v>23</v>
      </c>
      <c r="EO462" t="s">
        <v>3</v>
      </c>
      <c r="EQ462">
        <v>1024</v>
      </c>
      <c r="ER462">
        <v>14842.36</v>
      </c>
      <c r="ES462">
        <v>5847.64</v>
      </c>
      <c r="ET462">
        <v>0</v>
      </c>
      <c r="EU462">
        <v>0</v>
      </c>
      <c r="EV462">
        <v>8994.7199999999993</v>
      </c>
      <c r="EW462">
        <v>16</v>
      </c>
      <c r="EX462">
        <v>0</v>
      </c>
      <c r="EY462">
        <v>0</v>
      </c>
      <c r="FQ462">
        <v>0</v>
      </c>
      <c r="FR462">
        <f t="shared" si="382"/>
        <v>0</v>
      </c>
      <c r="FS462">
        <v>0</v>
      </c>
      <c r="FX462">
        <v>70</v>
      </c>
      <c r="FY462">
        <v>10</v>
      </c>
      <c r="GA462" t="s">
        <v>3</v>
      </c>
      <c r="GD462">
        <v>0</v>
      </c>
      <c r="GF462">
        <v>-593076646</v>
      </c>
      <c r="GG462">
        <v>2</v>
      </c>
      <c r="GH462">
        <v>1</v>
      </c>
      <c r="GI462">
        <v>-2</v>
      </c>
      <c r="GJ462">
        <v>0</v>
      </c>
      <c r="GK462">
        <f>ROUND(R462*(R12)/100,2)</f>
        <v>0</v>
      </c>
      <c r="GL462">
        <f t="shared" si="383"/>
        <v>0</v>
      </c>
      <c r="GM462">
        <f t="shared" si="384"/>
        <v>859487.31</v>
      </c>
      <c r="GN462">
        <f t="shared" si="385"/>
        <v>0</v>
      </c>
      <c r="GO462">
        <f t="shared" si="386"/>
        <v>0</v>
      </c>
      <c r="GP462">
        <f t="shared" si="387"/>
        <v>859487.31</v>
      </c>
      <c r="GR462">
        <v>0</v>
      </c>
      <c r="GS462">
        <v>3</v>
      </c>
      <c r="GT462">
        <v>0</v>
      </c>
      <c r="GU462" t="s">
        <v>3</v>
      </c>
      <c r="GV462">
        <f t="shared" si="388"/>
        <v>0</v>
      </c>
      <c r="GW462">
        <v>1</v>
      </c>
      <c r="GX462">
        <f t="shared" si="389"/>
        <v>0</v>
      </c>
      <c r="HA462">
        <v>0</v>
      </c>
      <c r="HB462">
        <v>0</v>
      </c>
      <c r="HC462">
        <f t="shared" si="390"/>
        <v>0</v>
      </c>
      <c r="HE462" t="s">
        <v>3</v>
      </c>
      <c r="HF462" t="s">
        <v>3</v>
      </c>
      <c r="HM462" t="s">
        <v>3</v>
      </c>
      <c r="HN462" t="s">
        <v>3</v>
      </c>
      <c r="HO462" t="s">
        <v>3</v>
      </c>
      <c r="HP462" t="s">
        <v>3</v>
      </c>
      <c r="HQ462" t="s">
        <v>3</v>
      </c>
      <c r="IK462">
        <v>0</v>
      </c>
    </row>
    <row r="463" spans="1:245" x14ac:dyDescent="0.2">
      <c r="A463">
        <v>17</v>
      </c>
      <c r="B463">
        <v>1</v>
      </c>
      <c r="D463">
        <f>ROW(EtalonRes!A269)</f>
        <v>269</v>
      </c>
      <c r="E463" t="s">
        <v>3</v>
      </c>
      <c r="F463" t="s">
        <v>160</v>
      </c>
      <c r="G463" t="s">
        <v>161</v>
      </c>
      <c r="H463" t="s">
        <v>39</v>
      </c>
      <c r="I463">
        <v>13</v>
      </c>
      <c r="J463">
        <v>0</v>
      </c>
      <c r="K463">
        <v>13</v>
      </c>
      <c r="O463">
        <f t="shared" si="358"/>
        <v>329483.7</v>
      </c>
      <c r="P463">
        <f t="shared" si="359"/>
        <v>614.25</v>
      </c>
      <c r="Q463">
        <f t="shared" si="360"/>
        <v>0</v>
      </c>
      <c r="R463">
        <f t="shared" si="361"/>
        <v>0</v>
      </c>
      <c r="S463">
        <f t="shared" si="362"/>
        <v>328869.45</v>
      </c>
      <c r="T463">
        <f t="shared" si="363"/>
        <v>0</v>
      </c>
      <c r="U463">
        <f t="shared" si="364"/>
        <v>585</v>
      </c>
      <c r="V463">
        <f t="shared" si="365"/>
        <v>0</v>
      </c>
      <c r="W463">
        <f t="shared" si="366"/>
        <v>0</v>
      </c>
      <c r="X463">
        <f t="shared" si="367"/>
        <v>230208.62</v>
      </c>
      <c r="Y463">
        <f t="shared" si="367"/>
        <v>32886.949999999997</v>
      </c>
      <c r="AA463">
        <v>-1</v>
      </c>
      <c r="AB463">
        <f t="shared" si="368"/>
        <v>25344.9</v>
      </c>
      <c r="AC463">
        <f>ROUND(((ES463*5)),6)</f>
        <v>47.25</v>
      </c>
      <c r="AD463">
        <f t="shared" si="369"/>
        <v>0</v>
      </c>
      <c r="AE463">
        <f>ROUND((EU463),6)</f>
        <v>0</v>
      </c>
      <c r="AF463">
        <f>ROUND(((EV463*5)),6)</f>
        <v>25297.65</v>
      </c>
      <c r="AG463">
        <f t="shared" si="370"/>
        <v>0</v>
      </c>
      <c r="AH463">
        <f>((EW463*5))</f>
        <v>45</v>
      </c>
      <c r="AI463">
        <f>(EX463)</f>
        <v>0</v>
      </c>
      <c r="AJ463">
        <f t="shared" si="371"/>
        <v>0</v>
      </c>
      <c r="AK463">
        <v>5068.9799999999996</v>
      </c>
      <c r="AL463">
        <v>9.4499999999999993</v>
      </c>
      <c r="AM463">
        <v>0</v>
      </c>
      <c r="AN463">
        <v>0</v>
      </c>
      <c r="AO463">
        <v>5059.53</v>
      </c>
      <c r="AP463">
        <v>0</v>
      </c>
      <c r="AQ463">
        <v>9</v>
      </c>
      <c r="AR463">
        <v>0</v>
      </c>
      <c r="AS463">
        <v>0</v>
      </c>
      <c r="AT463">
        <v>70</v>
      </c>
      <c r="AU463">
        <v>10</v>
      </c>
      <c r="AV463">
        <v>1</v>
      </c>
      <c r="AW463">
        <v>1</v>
      </c>
      <c r="AZ463">
        <v>1</v>
      </c>
      <c r="BA463">
        <v>1</v>
      </c>
      <c r="BB463">
        <v>1</v>
      </c>
      <c r="BC463">
        <v>1</v>
      </c>
      <c r="BD463" t="s">
        <v>3</v>
      </c>
      <c r="BE463" t="s">
        <v>3</v>
      </c>
      <c r="BF463" t="s">
        <v>3</v>
      </c>
      <c r="BG463" t="s">
        <v>3</v>
      </c>
      <c r="BH463">
        <v>0</v>
      </c>
      <c r="BI463">
        <v>4</v>
      </c>
      <c r="BJ463" t="s">
        <v>162</v>
      </c>
      <c r="BM463">
        <v>0</v>
      </c>
      <c r="BN463">
        <v>0</v>
      </c>
      <c r="BO463" t="s">
        <v>3</v>
      </c>
      <c r="BP463">
        <v>0</v>
      </c>
      <c r="BQ463">
        <v>1</v>
      </c>
      <c r="BR463">
        <v>0</v>
      </c>
      <c r="BS463">
        <v>1</v>
      </c>
      <c r="BT463">
        <v>1</v>
      </c>
      <c r="BU463">
        <v>1</v>
      </c>
      <c r="BV463">
        <v>1</v>
      </c>
      <c r="BW463">
        <v>1</v>
      </c>
      <c r="BX463">
        <v>1</v>
      </c>
      <c r="BY463" t="s">
        <v>3</v>
      </c>
      <c r="BZ463">
        <v>70</v>
      </c>
      <c r="CA463">
        <v>10</v>
      </c>
      <c r="CB463" t="s">
        <v>3</v>
      </c>
      <c r="CE463">
        <v>0</v>
      </c>
      <c r="CF463">
        <v>0</v>
      </c>
      <c r="CG463">
        <v>0</v>
      </c>
      <c r="CM463">
        <v>0</v>
      </c>
      <c r="CN463" t="s">
        <v>3</v>
      </c>
      <c r="CO463">
        <v>0</v>
      </c>
      <c r="CP463">
        <f t="shared" si="372"/>
        <v>329483.7</v>
      </c>
      <c r="CQ463">
        <f t="shared" si="373"/>
        <v>47.25</v>
      </c>
      <c r="CR463">
        <f t="shared" si="374"/>
        <v>0</v>
      </c>
      <c r="CS463">
        <f t="shared" si="375"/>
        <v>0</v>
      </c>
      <c r="CT463">
        <f t="shared" si="376"/>
        <v>25297.65</v>
      </c>
      <c r="CU463">
        <f t="shared" si="377"/>
        <v>0</v>
      </c>
      <c r="CV463">
        <f t="shared" si="378"/>
        <v>45</v>
      </c>
      <c r="CW463">
        <f t="shared" si="379"/>
        <v>0</v>
      </c>
      <c r="CX463">
        <f t="shared" si="379"/>
        <v>0</v>
      </c>
      <c r="CY463">
        <f t="shared" si="380"/>
        <v>230208.61499999999</v>
      </c>
      <c r="CZ463">
        <f t="shared" si="381"/>
        <v>32886.945</v>
      </c>
      <c r="DC463" t="s">
        <v>3</v>
      </c>
      <c r="DD463" t="s">
        <v>152</v>
      </c>
      <c r="DE463" t="s">
        <v>3</v>
      </c>
      <c r="DF463" t="s">
        <v>3</v>
      </c>
      <c r="DG463" t="s">
        <v>152</v>
      </c>
      <c r="DH463" t="s">
        <v>3</v>
      </c>
      <c r="DI463" t="s">
        <v>152</v>
      </c>
      <c r="DJ463" t="s">
        <v>3</v>
      </c>
      <c r="DK463" t="s">
        <v>3</v>
      </c>
      <c r="DL463" t="s">
        <v>3</v>
      </c>
      <c r="DM463" t="s">
        <v>3</v>
      </c>
      <c r="DN463">
        <v>0</v>
      </c>
      <c r="DO463">
        <v>0</v>
      </c>
      <c r="DP463">
        <v>1</v>
      </c>
      <c r="DQ463">
        <v>1</v>
      </c>
      <c r="DU463">
        <v>16987630</v>
      </c>
      <c r="DV463" t="s">
        <v>39</v>
      </c>
      <c r="DW463" t="s">
        <v>39</v>
      </c>
      <c r="DX463">
        <v>1</v>
      </c>
      <c r="DZ463" t="s">
        <v>3</v>
      </c>
      <c r="EA463" t="s">
        <v>3</v>
      </c>
      <c r="EB463" t="s">
        <v>3</v>
      </c>
      <c r="EC463" t="s">
        <v>3</v>
      </c>
      <c r="EE463">
        <v>1441815344</v>
      </c>
      <c r="EF463">
        <v>1</v>
      </c>
      <c r="EG463" t="s">
        <v>21</v>
      </c>
      <c r="EH463">
        <v>0</v>
      </c>
      <c r="EI463" t="s">
        <v>3</v>
      </c>
      <c r="EJ463">
        <v>4</v>
      </c>
      <c r="EK463">
        <v>0</v>
      </c>
      <c r="EL463" t="s">
        <v>22</v>
      </c>
      <c r="EM463" t="s">
        <v>23</v>
      </c>
      <c r="EO463" t="s">
        <v>3</v>
      </c>
      <c r="EQ463">
        <v>1024</v>
      </c>
      <c r="ER463">
        <v>5068.9799999999996</v>
      </c>
      <c r="ES463">
        <v>9.4499999999999993</v>
      </c>
      <c r="ET463">
        <v>0</v>
      </c>
      <c r="EU463">
        <v>0</v>
      </c>
      <c r="EV463">
        <v>5059.53</v>
      </c>
      <c r="EW463">
        <v>9</v>
      </c>
      <c r="EX463">
        <v>0</v>
      </c>
      <c r="EY463">
        <v>0</v>
      </c>
      <c r="FQ463">
        <v>0</v>
      </c>
      <c r="FR463">
        <f t="shared" si="382"/>
        <v>0</v>
      </c>
      <c r="FS463">
        <v>0</v>
      </c>
      <c r="FX463">
        <v>70</v>
      </c>
      <c r="FY463">
        <v>10</v>
      </c>
      <c r="GA463" t="s">
        <v>3</v>
      </c>
      <c r="GD463">
        <v>0</v>
      </c>
      <c r="GF463">
        <v>1005377869</v>
      </c>
      <c r="GG463">
        <v>2</v>
      </c>
      <c r="GH463">
        <v>1</v>
      </c>
      <c r="GI463">
        <v>-2</v>
      </c>
      <c r="GJ463">
        <v>0</v>
      </c>
      <c r="GK463">
        <f>ROUND(R463*(R12)/100,2)</f>
        <v>0</v>
      </c>
      <c r="GL463">
        <f t="shared" si="383"/>
        <v>0</v>
      </c>
      <c r="GM463">
        <f t="shared" si="384"/>
        <v>592579.27</v>
      </c>
      <c r="GN463">
        <f t="shared" si="385"/>
        <v>0</v>
      </c>
      <c r="GO463">
        <f t="shared" si="386"/>
        <v>0</v>
      </c>
      <c r="GP463">
        <f t="shared" si="387"/>
        <v>592579.27</v>
      </c>
      <c r="GR463">
        <v>0</v>
      </c>
      <c r="GS463">
        <v>3</v>
      </c>
      <c r="GT463">
        <v>0</v>
      </c>
      <c r="GU463" t="s">
        <v>3</v>
      </c>
      <c r="GV463">
        <f t="shared" si="388"/>
        <v>0</v>
      </c>
      <c r="GW463">
        <v>1</v>
      </c>
      <c r="GX463">
        <f t="shared" si="389"/>
        <v>0</v>
      </c>
      <c r="HA463">
        <v>0</v>
      </c>
      <c r="HB463">
        <v>0</v>
      </c>
      <c r="HC463">
        <f t="shared" si="390"/>
        <v>0</v>
      </c>
      <c r="HE463" t="s">
        <v>3</v>
      </c>
      <c r="HF463" t="s">
        <v>3</v>
      </c>
      <c r="HM463" t="s">
        <v>3</v>
      </c>
      <c r="HN463" t="s">
        <v>3</v>
      </c>
      <c r="HO463" t="s">
        <v>3</v>
      </c>
      <c r="HP463" t="s">
        <v>3</v>
      </c>
      <c r="HQ463" t="s">
        <v>3</v>
      </c>
      <c r="IK463">
        <v>0</v>
      </c>
    </row>
    <row r="464" spans="1:245" x14ac:dyDescent="0.2">
      <c r="A464">
        <v>17</v>
      </c>
      <c r="B464">
        <v>1</v>
      </c>
      <c r="D464">
        <f>ROW(EtalonRes!A271)</f>
        <v>271</v>
      </c>
      <c r="E464" t="s">
        <v>287</v>
      </c>
      <c r="F464" t="s">
        <v>164</v>
      </c>
      <c r="G464" t="s">
        <v>165</v>
      </c>
      <c r="H464" t="s">
        <v>39</v>
      </c>
      <c r="I464">
        <v>1</v>
      </c>
      <c r="J464">
        <v>0</v>
      </c>
      <c r="K464">
        <v>1</v>
      </c>
      <c r="O464">
        <f t="shared" si="358"/>
        <v>358.77</v>
      </c>
      <c r="P464">
        <f t="shared" si="359"/>
        <v>0.63</v>
      </c>
      <c r="Q464">
        <f t="shared" si="360"/>
        <v>0</v>
      </c>
      <c r="R464">
        <f t="shared" si="361"/>
        <v>0</v>
      </c>
      <c r="S464">
        <f t="shared" si="362"/>
        <v>358.14</v>
      </c>
      <c r="T464">
        <f t="shared" si="363"/>
        <v>0</v>
      </c>
      <c r="U464">
        <f t="shared" si="364"/>
        <v>0.57999999999999996</v>
      </c>
      <c r="V464">
        <f t="shared" si="365"/>
        <v>0</v>
      </c>
      <c r="W464">
        <f t="shared" si="366"/>
        <v>0</v>
      </c>
      <c r="X464">
        <f t="shared" si="367"/>
        <v>250.7</v>
      </c>
      <c r="Y464">
        <f t="shared" si="367"/>
        <v>35.81</v>
      </c>
      <c r="AA464">
        <v>1471531721</v>
      </c>
      <c r="AB464">
        <f t="shared" si="368"/>
        <v>358.77</v>
      </c>
      <c r="AC464">
        <f>ROUND((ES464),6)</f>
        <v>0.63</v>
      </c>
      <c r="AD464">
        <f t="shared" si="369"/>
        <v>0</v>
      </c>
      <c r="AE464">
        <f>ROUND((EU464),6)</f>
        <v>0</v>
      </c>
      <c r="AF464">
        <f>ROUND((EV464),6)</f>
        <v>358.14</v>
      </c>
      <c r="AG464">
        <f t="shared" si="370"/>
        <v>0</v>
      </c>
      <c r="AH464">
        <f>(EW464)</f>
        <v>0.57999999999999996</v>
      </c>
      <c r="AI464">
        <f>(EX464)</f>
        <v>0</v>
      </c>
      <c r="AJ464">
        <f t="shared" si="371"/>
        <v>0</v>
      </c>
      <c r="AK464">
        <v>358.77</v>
      </c>
      <c r="AL464">
        <v>0.63</v>
      </c>
      <c r="AM464">
        <v>0</v>
      </c>
      <c r="AN464">
        <v>0</v>
      </c>
      <c r="AO464">
        <v>358.14</v>
      </c>
      <c r="AP464">
        <v>0</v>
      </c>
      <c r="AQ464">
        <v>0.57999999999999996</v>
      </c>
      <c r="AR464">
        <v>0</v>
      </c>
      <c r="AS464">
        <v>0</v>
      </c>
      <c r="AT464">
        <v>70</v>
      </c>
      <c r="AU464">
        <v>10</v>
      </c>
      <c r="AV464">
        <v>1</v>
      </c>
      <c r="AW464">
        <v>1</v>
      </c>
      <c r="AZ464">
        <v>1</v>
      </c>
      <c r="BA464">
        <v>1</v>
      </c>
      <c r="BB464">
        <v>1</v>
      </c>
      <c r="BC464">
        <v>1</v>
      </c>
      <c r="BD464" t="s">
        <v>3</v>
      </c>
      <c r="BE464" t="s">
        <v>3</v>
      </c>
      <c r="BF464" t="s">
        <v>3</v>
      </c>
      <c r="BG464" t="s">
        <v>3</v>
      </c>
      <c r="BH464">
        <v>0</v>
      </c>
      <c r="BI464">
        <v>4</v>
      </c>
      <c r="BJ464" t="s">
        <v>166</v>
      </c>
      <c r="BM464">
        <v>0</v>
      </c>
      <c r="BN464">
        <v>0</v>
      </c>
      <c r="BO464" t="s">
        <v>3</v>
      </c>
      <c r="BP464">
        <v>0</v>
      </c>
      <c r="BQ464">
        <v>1</v>
      </c>
      <c r="BR464">
        <v>0</v>
      </c>
      <c r="BS464">
        <v>1</v>
      </c>
      <c r="BT464">
        <v>1</v>
      </c>
      <c r="BU464">
        <v>1</v>
      </c>
      <c r="BV464">
        <v>1</v>
      </c>
      <c r="BW464">
        <v>1</v>
      </c>
      <c r="BX464">
        <v>1</v>
      </c>
      <c r="BY464" t="s">
        <v>3</v>
      </c>
      <c r="BZ464">
        <v>70</v>
      </c>
      <c r="CA464">
        <v>10</v>
      </c>
      <c r="CB464" t="s">
        <v>3</v>
      </c>
      <c r="CE464">
        <v>0</v>
      </c>
      <c r="CF464">
        <v>0</v>
      </c>
      <c r="CG464">
        <v>0</v>
      </c>
      <c r="CM464">
        <v>0</v>
      </c>
      <c r="CN464" t="s">
        <v>3</v>
      </c>
      <c r="CO464">
        <v>0</v>
      </c>
      <c r="CP464">
        <f t="shared" si="372"/>
        <v>358.77</v>
      </c>
      <c r="CQ464">
        <f t="shared" si="373"/>
        <v>0.63</v>
      </c>
      <c r="CR464">
        <f t="shared" si="374"/>
        <v>0</v>
      </c>
      <c r="CS464">
        <f t="shared" si="375"/>
        <v>0</v>
      </c>
      <c r="CT464">
        <f t="shared" si="376"/>
        <v>358.14</v>
      </c>
      <c r="CU464">
        <f t="shared" si="377"/>
        <v>0</v>
      </c>
      <c r="CV464">
        <f t="shared" si="378"/>
        <v>0.57999999999999996</v>
      </c>
      <c r="CW464">
        <f t="shared" si="379"/>
        <v>0</v>
      </c>
      <c r="CX464">
        <f t="shared" si="379"/>
        <v>0</v>
      </c>
      <c r="CY464">
        <f t="shared" si="380"/>
        <v>250.69799999999998</v>
      </c>
      <c r="CZ464">
        <f t="shared" si="381"/>
        <v>35.813999999999993</v>
      </c>
      <c r="DC464" t="s">
        <v>3</v>
      </c>
      <c r="DD464" t="s">
        <v>3</v>
      </c>
      <c r="DE464" t="s">
        <v>3</v>
      </c>
      <c r="DF464" t="s">
        <v>3</v>
      </c>
      <c r="DG464" t="s">
        <v>3</v>
      </c>
      <c r="DH464" t="s">
        <v>3</v>
      </c>
      <c r="DI464" t="s">
        <v>3</v>
      </c>
      <c r="DJ464" t="s">
        <v>3</v>
      </c>
      <c r="DK464" t="s">
        <v>3</v>
      </c>
      <c r="DL464" t="s">
        <v>3</v>
      </c>
      <c r="DM464" t="s">
        <v>3</v>
      </c>
      <c r="DN464">
        <v>0</v>
      </c>
      <c r="DO464">
        <v>0</v>
      </c>
      <c r="DP464">
        <v>1</v>
      </c>
      <c r="DQ464">
        <v>1</v>
      </c>
      <c r="DU464">
        <v>16987630</v>
      </c>
      <c r="DV464" t="s">
        <v>39</v>
      </c>
      <c r="DW464" t="s">
        <v>39</v>
      </c>
      <c r="DX464">
        <v>1</v>
      </c>
      <c r="DZ464" t="s">
        <v>3</v>
      </c>
      <c r="EA464" t="s">
        <v>3</v>
      </c>
      <c r="EB464" t="s">
        <v>3</v>
      </c>
      <c r="EC464" t="s">
        <v>3</v>
      </c>
      <c r="EE464">
        <v>1441815344</v>
      </c>
      <c r="EF464">
        <v>1</v>
      </c>
      <c r="EG464" t="s">
        <v>21</v>
      </c>
      <c r="EH464">
        <v>0</v>
      </c>
      <c r="EI464" t="s">
        <v>3</v>
      </c>
      <c r="EJ464">
        <v>4</v>
      </c>
      <c r="EK464">
        <v>0</v>
      </c>
      <c r="EL464" t="s">
        <v>22</v>
      </c>
      <c r="EM464" t="s">
        <v>23</v>
      </c>
      <c r="EO464" t="s">
        <v>3</v>
      </c>
      <c r="EQ464">
        <v>0</v>
      </c>
      <c r="ER464">
        <v>358.77</v>
      </c>
      <c r="ES464">
        <v>0.63</v>
      </c>
      <c r="ET464">
        <v>0</v>
      </c>
      <c r="EU464">
        <v>0</v>
      </c>
      <c r="EV464">
        <v>358.14</v>
      </c>
      <c r="EW464">
        <v>0.57999999999999996</v>
      </c>
      <c r="EX464">
        <v>0</v>
      </c>
      <c r="EY464">
        <v>0</v>
      </c>
      <c r="FQ464">
        <v>0</v>
      </c>
      <c r="FR464">
        <f t="shared" si="382"/>
        <v>0</v>
      </c>
      <c r="FS464">
        <v>0</v>
      </c>
      <c r="FX464">
        <v>70</v>
      </c>
      <c r="FY464">
        <v>10</v>
      </c>
      <c r="GA464" t="s">
        <v>3</v>
      </c>
      <c r="GD464">
        <v>0</v>
      </c>
      <c r="GF464">
        <v>-1603277612</v>
      </c>
      <c r="GG464">
        <v>2</v>
      </c>
      <c r="GH464">
        <v>1</v>
      </c>
      <c r="GI464">
        <v>-2</v>
      </c>
      <c r="GJ464">
        <v>0</v>
      </c>
      <c r="GK464">
        <f>ROUND(R464*(R12)/100,2)</f>
        <v>0</v>
      </c>
      <c r="GL464">
        <f t="shared" si="383"/>
        <v>0</v>
      </c>
      <c r="GM464">
        <f t="shared" si="384"/>
        <v>645.28</v>
      </c>
      <c r="GN464">
        <f t="shared" si="385"/>
        <v>0</v>
      </c>
      <c r="GO464">
        <f t="shared" si="386"/>
        <v>0</v>
      </c>
      <c r="GP464">
        <f t="shared" si="387"/>
        <v>645.28</v>
      </c>
      <c r="GR464">
        <v>0</v>
      </c>
      <c r="GS464">
        <v>3</v>
      </c>
      <c r="GT464">
        <v>0</v>
      </c>
      <c r="GU464" t="s">
        <v>3</v>
      </c>
      <c r="GV464">
        <f t="shared" si="388"/>
        <v>0</v>
      </c>
      <c r="GW464">
        <v>1</v>
      </c>
      <c r="GX464">
        <f t="shared" si="389"/>
        <v>0</v>
      </c>
      <c r="HA464">
        <v>0</v>
      </c>
      <c r="HB464">
        <v>0</v>
      </c>
      <c r="HC464">
        <f t="shared" si="390"/>
        <v>0</v>
      </c>
      <c r="HE464" t="s">
        <v>3</v>
      </c>
      <c r="HF464" t="s">
        <v>3</v>
      </c>
      <c r="HM464" t="s">
        <v>3</v>
      </c>
      <c r="HN464" t="s">
        <v>3</v>
      </c>
      <c r="HO464" t="s">
        <v>3</v>
      </c>
      <c r="HP464" t="s">
        <v>3</v>
      </c>
      <c r="HQ464" t="s">
        <v>3</v>
      </c>
      <c r="IK464">
        <v>0</v>
      </c>
    </row>
    <row r="465" spans="1:245" x14ac:dyDescent="0.2">
      <c r="A465">
        <v>17</v>
      </c>
      <c r="B465">
        <v>1</v>
      </c>
      <c r="D465">
        <f>ROW(EtalonRes!A273)</f>
        <v>273</v>
      </c>
      <c r="E465" t="s">
        <v>288</v>
      </c>
      <c r="F465" t="s">
        <v>42</v>
      </c>
      <c r="G465" t="s">
        <v>74</v>
      </c>
      <c r="H465" t="s">
        <v>39</v>
      </c>
      <c r="I465">
        <f>ROUND(6*1,9)</f>
        <v>6</v>
      </c>
      <c r="J465">
        <v>0</v>
      </c>
      <c r="K465">
        <f>ROUND(6*1,9)</f>
        <v>6</v>
      </c>
      <c r="O465">
        <f t="shared" si="358"/>
        <v>1717.08</v>
      </c>
      <c r="P465">
        <f t="shared" si="359"/>
        <v>0</v>
      </c>
      <c r="Q465">
        <f t="shared" si="360"/>
        <v>469.08</v>
      </c>
      <c r="R465">
        <f t="shared" si="361"/>
        <v>297.42</v>
      </c>
      <c r="S465">
        <f t="shared" si="362"/>
        <v>1248</v>
      </c>
      <c r="T465">
        <f t="shared" si="363"/>
        <v>0</v>
      </c>
      <c r="U465">
        <f t="shared" si="364"/>
        <v>2.2199999999999998</v>
      </c>
      <c r="V465">
        <f t="shared" si="365"/>
        <v>0</v>
      </c>
      <c r="W465">
        <f t="shared" si="366"/>
        <v>0</v>
      </c>
      <c r="X465">
        <f t="shared" si="367"/>
        <v>873.6</v>
      </c>
      <c r="Y465">
        <f t="shared" si="367"/>
        <v>124.8</v>
      </c>
      <c r="AA465">
        <v>1471531721</v>
      </c>
      <c r="AB465">
        <f t="shared" si="368"/>
        <v>286.18</v>
      </c>
      <c r="AC465">
        <f>ROUND((ES465),6)</f>
        <v>0</v>
      </c>
      <c r="AD465">
        <f t="shared" si="369"/>
        <v>78.180000000000007</v>
      </c>
      <c r="AE465">
        <f>ROUND((EU465),6)</f>
        <v>49.57</v>
      </c>
      <c r="AF465">
        <f>ROUND((EV465),6)</f>
        <v>208</v>
      </c>
      <c r="AG465">
        <f t="shared" si="370"/>
        <v>0</v>
      </c>
      <c r="AH465">
        <f>(EW465)</f>
        <v>0.37</v>
      </c>
      <c r="AI465">
        <f>(EX465)</f>
        <v>0</v>
      </c>
      <c r="AJ465">
        <f t="shared" si="371"/>
        <v>0</v>
      </c>
      <c r="AK465">
        <v>286.18</v>
      </c>
      <c r="AL465">
        <v>0</v>
      </c>
      <c r="AM465">
        <v>78.180000000000007</v>
      </c>
      <c r="AN465">
        <v>49.57</v>
      </c>
      <c r="AO465">
        <v>208</v>
      </c>
      <c r="AP465">
        <v>0</v>
      </c>
      <c r="AQ465">
        <v>0.37</v>
      </c>
      <c r="AR465">
        <v>0</v>
      </c>
      <c r="AS465">
        <v>0</v>
      </c>
      <c r="AT465">
        <v>70</v>
      </c>
      <c r="AU465">
        <v>10</v>
      </c>
      <c r="AV465">
        <v>1</v>
      </c>
      <c r="AW465">
        <v>1</v>
      </c>
      <c r="AZ465">
        <v>1</v>
      </c>
      <c r="BA465">
        <v>1</v>
      </c>
      <c r="BB465">
        <v>1</v>
      </c>
      <c r="BC465">
        <v>1</v>
      </c>
      <c r="BD465" t="s">
        <v>3</v>
      </c>
      <c r="BE465" t="s">
        <v>3</v>
      </c>
      <c r="BF465" t="s">
        <v>3</v>
      </c>
      <c r="BG465" t="s">
        <v>3</v>
      </c>
      <c r="BH465">
        <v>0</v>
      </c>
      <c r="BI465">
        <v>4</v>
      </c>
      <c r="BJ465" t="s">
        <v>44</v>
      </c>
      <c r="BM465">
        <v>0</v>
      </c>
      <c r="BN465">
        <v>0</v>
      </c>
      <c r="BO465" t="s">
        <v>3</v>
      </c>
      <c r="BP465">
        <v>0</v>
      </c>
      <c r="BQ465">
        <v>1</v>
      </c>
      <c r="BR465">
        <v>0</v>
      </c>
      <c r="BS465">
        <v>1</v>
      </c>
      <c r="BT465">
        <v>1</v>
      </c>
      <c r="BU465">
        <v>1</v>
      </c>
      <c r="BV465">
        <v>1</v>
      </c>
      <c r="BW465">
        <v>1</v>
      </c>
      <c r="BX465">
        <v>1</v>
      </c>
      <c r="BY465" t="s">
        <v>3</v>
      </c>
      <c r="BZ465">
        <v>70</v>
      </c>
      <c r="CA465">
        <v>10</v>
      </c>
      <c r="CB465" t="s">
        <v>3</v>
      </c>
      <c r="CE465">
        <v>0</v>
      </c>
      <c r="CF465">
        <v>0</v>
      </c>
      <c r="CG465">
        <v>0</v>
      </c>
      <c r="CM465">
        <v>0</v>
      </c>
      <c r="CN465" t="s">
        <v>3</v>
      </c>
      <c r="CO465">
        <v>0</v>
      </c>
      <c r="CP465">
        <f t="shared" si="372"/>
        <v>1717.08</v>
      </c>
      <c r="CQ465">
        <f t="shared" si="373"/>
        <v>0</v>
      </c>
      <c r="CR465">
        <f t="shared" si="374"/>
        <v>78.180000000000007</v>
      </c>
      <c r="CS465">
        <f t="shared" si="375"/>
        <v>49.57</v>
      </c>
      <c r="CT465">
        <f t="shared" si="376"/>
        <v>208</v>
      </c>
      <c r="CU465">
        <f t="shared" si="377"/>
        <v>0</v>
      </c>
      <c r="CV465">
        <f t="shared" si="378"/>
        <v>0.37</v>
      </c>
      <c r="CW465">
        <f t="shared" si="379"/>
        <v>0</v>
      </c>
      <c r="CX465">
        <f t="shared" si="379"/>
        <v>0</v>
      </c>
      <c r="CY465">
        <f t="shared" si="380"/>
        <v>873.6</v>
      </c>
      <c r="CZ465">
        <f t="shared" si="381"/>
        <v>124.8</v>
      </c>
      <c r="DC465" t="s">
        <v>3</v>
      </c>
      <c r="DD465" t="s">
        <v>3</v>
      </c>
      <c r="DE465" t="s">
        <v>3</v>
      </c>
      <c r="DF465" t="s">
        <v>3</v>
      </c>
      <c r="DG465" t="s">
        <v>3</v>
      </c>
      <c r="DH465" t="s">
        <v>3</v>
      </c>
      <c r="DI465" t="s">
        <v>3</v>
      </c>
      <c r="DJ465" t="s">
        <v>3</v>
      </c>
      <c r="DK465" t="s">
        <v>3</v>
      </c>
      <c r="DL465" t="s">
        <v>3</v>
      </c>
      <c r="DM465" t="s">
        <v>3</v>
      </c>
      <c r="DN465">
        <v>0</v>
      </c>
      <c r="DO465">
        <v>0</v>
      </c>
      <c r="DP465">
        <v>1</v>
      </c>
      <c r="DQ465">
        <v>1</v>
      </c>
      <c r="DU465">
        <v>16987630</v>
      </c>
      <c r="DV465" t="s">
        <v>39</v>
      </c>
      <c r="DW465" t="s">
        <v>39</v>
      </c>
      <c r="DX465">
        <v>1</v>
      </c>
      <c r="DZ465" t="s">
        <v>3</v>
      </c>
      <c r="EA465" t="s">
        <v>3</v>
      </c>
      <c r="EB465" t="s">
        <v>3</v>
      </c>
      <c r="EC465" t="s">
        <v>3</v>
      </c>
      <c r="EE465">
        <v>1441815344</v>
      </c>
      <c r="EF465">
        <v>1</v>
      </c>
      <c r="EG465" t="s">
        <v>21</v>
      </c>
      <c r="EH465">
        <v>0</v>
      </c>
      <c r="EI465" t="s">
        <v>3</v>
      </c>
      <c r="EJ465">
        <v>4</v>
      </c>
      <c r="EK465">
        <v>0</v>
      </c>
      <c r="EL465" t="s">
        <v>22</v>
      </c>
      <c r="EM465" t="s">
        <v>23</v>
      </c>
      <c r="EO465" t="s">
        <v>3</v>
      </c>
      <c r="EQ465">
        <v>0</v>
      </c>
      <c r="ER465">
        <v>286.18</v>
      </c>
      <c r="ES465">
        <v>0</v>
      </c>
      <c r="ET465">
        <v>78.180000000000007</v>
      </c>
      <c r="EU465">
        <v>49.57</v>
      </c>
      <c r="EV465">
        <v>208</v>
      </c>
      <c r="EW465">
        <v>0.37</v>
      </c>
      <c r="EX465">
        <v>0</v>
      </c>
      <c r="EY465">
        <v>0</v>
      </c>
      <c r="FQ465">
        <v>0</v>
      </c>
      <c r="FR465">
        <f t="shared" si="382"/>
        <v>0</v>
      </c>
      <c r="FS465">
        <v>0</v>
      </c>
      <c r="FX465">
        <v>70</v>
      </c>
      <c r="FY465">
        <v>10</v>
      </c>
      <c r="GA465" t="s">
        <v>3</v>
      </c>
      <c r="GD465">
        <v>0</v>
      </c>
      <c r="GF465">
        <v>139218651</v>
      </c>
      <c r="GG465">
        <v>2</v>
      </c>
      <c r="GH465">
        <v>1</v>
      </c>
      <c r="GI465">
        <v>-2</v>
      </c>
      <c r="GJ465">
        <v>0</v>
      </c>
      <c r="GK465">
        <f>ROUND(R465*(R12)/100,2)</f>
        <v>321.20999999999998</v>
      </c>
      <c r="GL465">
        <f t="shared" si="383"/>
        <v>0</v>
      </c>
      <c r="GM465">
        <f t="shared" si="384"/>
        <v>3036.69</v>
      </c>
      <c r="GN465">
        <f t="shared" si="385"/>
        <v>0</v>
      </c>
      <c r="GO465">
        <f t="shared" si="386"/>
        <v>0</v>
      </c>
      <c r="GP465">
        <f t="shared" si="387"/>
        <v>3036.69</v>
      </c>
      <c r="GR465">
        <v>0</v>
      </c>
      <c r="GS465">
        <v>3</v>
      </c>
      <c r="GT465">
        <v>0</v>
      </c>
      <c r="GU465" t="s">
        <v>3</v>
      </c>
      <c r="GV465">
        <f t="shared" si="388"/>
        <v>0</v>
      </c>
      <c r="GW465">
        <v>1</v>
      </c>
      <c r="GX465">
        <f t="shared" si="389"/>
        <v>0</v>
      </c>
      <c r="HA465">
        <v>0</v>
      </c>
      <c r="HB465">
        <v>0</v>
      </c>
      <c r="HC465">
        <f t="shared" si="390"/>
        <v>0</v>
      </c>
      <c r="HE465" t="s">
        <v>3</v>
      </c>
      <c r="HF465" t="s">
        <v>3</v>
      </c>
      <c r="HM465" t="s">
        <v>3</v>
      </c>
      <c r="HN465" t="s">
        <v>3</v>
      </c>
      <c r="HO465" t="s">
        <v>3</v>
      </c>
      <c r="HP465" t="s">
        <v>3</v>
      </c>
      <c r="HQ465" t="s">
        <v>3</v>
      </c>
      <c r="IK465">
        <v>0</v>
      </c>
    </row>
    <row r="466" spans="1:245" x14ac:dyDescent="0.2">
      <c r="A466">
        <v>17</v>
      </c>
      <c r="B466">
        <v>1</v>
      </c>
      <c r="D466">
        <f>ROW(EtalonRes!A274)</f>
        <v>274</v>
      </c>
      <c r="E466" t="s">
        <v>3</v>
      </c>
      <c r="F466" t="s">
        <v>149</v>
      </c>
      <c r="G466" t="s">
        <v>150</v>
      </c>
      <c r="H466" t="s">
        <v>39</v>
      </c>
      <c r="I466">
        <v>2</v>
      </c>
      <c r="J466">
        <v>0</v>
      </c>
      <c r="K466">
        <v>2</v>
      </c>
      <c r="O466">
        <f t="shared" si="358"/>
        <v>1353.66</v>
      </c>
      <c r="P466">
        <f t="shared" si="359"/>
        <v>0</v>
      </c>
      <c r="Q466">
        <f t="shared" si="360"/>
        <v>0</v>
      </c>
      <c r="R466">
        <f t="shared" si="361"/>
        <v>0</v>
      </c>
      <c r="S466">
        <f t="shared" si="362"/>
        <v>1353.66</v>
      </c>
      <c r="T466">
        <f t="shared" si="363"/>
        <v>0</v>
      </c>
      <c r="U466">
        <f t="shared" si="364"/>
        <v>2.04</v>
      </c>
      <c r="V466">
        <f t="shared" si="365"/>
        <v>0</v>
      </c>
      <c r="W466">
        <f t="shared" si="366"/>
        <v>0</v>
      </c>
      <c r="X466">
        <f t="shared" si="367"/>
        <v>947.56</v>
      </c>
      <c r="Y466">
        <f t="shared" si="367"/>
        <v>135.37</v>
      </c>
      <c r="AA466">
        <v>-1</v>
      </c>
      <c r="AB466">
        <f t="shared" si="368"/>
        <v>676.83</v>
      </c>
      <c r="AC466">
        <f>ROUND(((ES466*3)),6)</f>
        <v>0</v>
      </c>
      <c r="AD466">
        <f>ROUND(((((ET466*3))-((EU466*3)))+AE466),6)</f>
        <v>0</v>
      </c>
      <c r="AE466">
        <f>ROUND(((EU466*3)),6)</f>
        <v>0</v>
      </c>
      <c r="AF466">
        <f>ROUND(((EV466*3)),6)</f>
        <v>676.83</v>
      </c>
      <c r="AG466">
        <f t="shared" si="370"/>
        <v>0</v>
      </c>
      <c r="AH466">
        <f>((EW466*3))</f>
        <v>1.02</v>
      </c>
      <c r="AI466">
        <f>((EX466*3))</f>
        <v>0</v>
      </c>
      <c r="AJ466">
        <f t="shared" si="371"/>
        <v>0</v>
      </c>
      <c r="AK466">
        <v>225.61</v>
      </c>
      <c r="AL466">
        <v>0</v>
      </c>
      <c r="AM466">
        <v>0</v>
      </c>
      <c r="AN466">
        <v>0</v>
      </c>
      <c r="AO466">
        <v>225.61</v>
      </c>
      <c r="AP466">
        <v>0</v>
      </c>
      <c r="AQ466">
        <v>0.34</v>
      </c>
      <c r="AR466">
        <v>0</v>
      </c>
      <c r="AS466">
        <v>0</v>
      </c>
      <c r="AT466">
        <v>70</v>
      </c>
      <c r="AU466">
        <v>10</v>
      </c>
      <c r="AV466">
        <v>1</v>
      </c>
      <c r="AW466">
        <v>1</v>
      </c>
      <c r="AZ466">
        <v>1</v>
      </c>
      <c r="BA466">
        <v>1</v>
      </c>
      <c r="BB466">
        <v>1</v>
      </c>
      <c r="BC466">
        <v>1</v>
      </c>
      <c r="BD466" t="s">
        <v>3</v>
      </c>
      <c r="BE466" t="s">
        <v>3</v>
      </c>
      <c r="BF466" t="s">
        <v>3</v>
      </c>
      <c r="BG466" t="s">
        <v>3</v>
      </c>
      <c r="BH466">
        <v>0</v>
      </c>
      <c r="BI466">
        <v>4</v>
      </c>
      <c r="BJ466" t="s">
        <v>151</v>
      </c>
      <c r="BM466">
        <v>0</v>
      </c>
      <c r="BN466">
        <v>0</v>
      </c>
      <c r="BO466" t="s">
        <v>3</v>
      </c>
      <c r="BP466">
        <v>0</v>
      </c>
      <c r="BQ466">
        <v>1</v>
      </c>
      <c r="BR466">
        <v>0</v>
      </c>
      <c r="BS466">
        <v>1</v>
      </c>
      <c r="BT466">
        <v>1</v>
      </c>
      <c r="BU466">
        <v>1</v>
      </c>
      <c r="BV466">
        <v>1</v>
      </c>
      <c r="BW466">
        <v>1</v>
      </c>
      <c r="BX466">
        <v>1</v>
      </c>
      <c r="BY466" t="s">
        <v>3</v>
      </c>
      <c r="BZ466">
        <v>70</v>
      </c>
      <c r="CA466">
        <v>10</v>
      </c>
      <c r="CB466" t="s">
        <v>3</v>
      </c>
      <c r="CE466">
        <v>0</v>
      </c>
      <c r="CF466">
        <v>0</v>
      </c>
      <c r="CG466">
        <v>0</v>
      </c>
      <c r="CM466">
        <v>0</v>
      </c>
      <c r="CN466" t="s">
        <v>3</v>
      </c>
      <c r="CO466">
        <v>0</v>
      </c>
      <c r="CP466">
        <f t="shared" si="372"/>
        <v>1353.66</v>
      </c>
      <c r="CQ466">
        <f t="shared" si="373"/>
        <v>0</v>
      </c>
      <c r="CR466">
        <f>(((((ET466*3))*BB466-((EU466*3))*BS466)+AE466*BS466)*AV466)</f>
        <v>0</v>
      </c>
      <c r="CS466">
        <f t="shared" si="375"/>
        <v>0</v>
      </c>
      <c r="CT466">
        <f t="shared" si="376"/>
        <v>676.83</v>
      </c>
      <c r="CU466">
        <f t="shared" si="377"/>
        <v>0</v>
      </c>
      <c r="CV466">
        <f t="shared" si="378"/>
        <v>1.02</v>
      </c>
      <c r="CW466">
        <f t="shared" si="379"/>
        <v>0</v>
      </c>
      <c r="CX466">
        <f t="shared" si="379"/>
        <v>0</v>
      </c>
      <c r="CY466">
        <f t="shared" si="380"/>
        <v>947.56200000000013</v>
      </c>
      <c r="CZ466">
        <f t="shared" si="381"/>
        <v>135.36600000000001</v>
      </c>
      <c r="DC466" t="s">
        <v>3</v>
      </c>
      <c r="DD466" t="s">
        <v>156</v>
      </c>
      <c r="DE466" t="s">
        <v>156</v>
      </c>
      <c r="DF466" t="s">
        <v>156</v>
      </c>
      <c r="DG466" t="s">
        <v>156</v>
      </c>
      <c r="DH466" t="s">
        <v>3</v>
      </c>
      <c r="DI466" t="s">
        <v>156</v>
      </c>
      <c r="DJ466" t="s">
        <v>156</v>
      </c>
      <c r="DK466" t="s">
        <v>3</v>
      </c>
      <c r="DL466" t="s">
        <v>3</v>
      </c>
      <c r="DM466" t="s">
        <v>3</v>
      </c>
      <c r="DN466">
        <v>0</v>
      </c>
      <c r="DO466">
        <v>0</v>
      </c>
      <c r="DP466">
        <v>1</v>
      </c>
      <c r="DQ466">
        <v>1</v>
      </c>
      <c r="DU466">
        <v>16987630</v>
      </c>
      <c r="DV466" t="s">
        <v>39</v>
      </c>
      <c r="DW466" t="s">
        <v>39</v>
      </c>
      <c r="DX466">
        <v>1</v>
      </c>
      <c r="DZ466" t="s">
        <v>3</v>
      </c>
      <c r="EA466" t="s">
        <v>3</v>
      </c>
      <c r="EB466" t="s">
        <v>3</v>
      </c>
      <c r="EC466" t="s">
        <v>3</v>
      </c>
      <c r="EE466">
        <v>1441815344</v>
      </c>
      <c r="EF466">
        <v>1</v>
      </c>
      <c r="EG466" t="s">
        <v>21</v>
      </c>
      <c r="EH466">
        <v>0</v>
      </c>
      <c r="EI466" t="s">
        <v>3</v>
      </c>
      <c r="EJ466">
        <v>4</v>
      </c>
      <c r="EK466">
        <v>0</v>
      </c>
      <c r="EL466" t="s">
        <v>22</v>
      </c>
      <c r="EM466" t="s">
        <v>23</v>
      </c>
      <c r="EO466" t="s">
        <v>3</v>
      </c>
      <c r="EQ466">
        <v>1024</v>
      </c>
      <c r="ER466">
        <v>225.61</v>
      </c>
      <c r="ES466">
        <v>0</v>
      </c>
      <c r="ET466">
        <v>0</v>
      </c>
      <c r="EU466">
        <v>0</v>
      </c>
      <c r="EV466">
        <v>225.61</v>
      </c>
      <c r="EW466">
        <v>0.34</v>
      </c>
      <c r="EX466">
        <v>0</v>
      </c>
      <c r="EY466">
        <v>0</v>
      </c>
      <c r="FQ466">
        <v>0</v>
      </c>
      <c r="FR466">
        <f t="shared" si="382"/>
        <v>0</v>
      </c>
      <c r="FS466">
        <v>0</v>
      </c>
      <c r="FX466">
        <v>70</v>
      </c>
      <c r="FY466">
        <v>10</v>
      </c>
      <c r="GA466" t="s">
        <v>3</v>
      </c>
      <c r="GD466">
        <v>0</v>
      </c>
      <c r="GF466">
        <v>-882349918</v>
      </c>
      <c r="GG466">
        <v>2</v>
      </c>
      <c r="GH466">
        <v>1</v>
      </c>
      <c r="GI466">
        <v>-2</v>
      </c>
      <c r="GJ466">
        <v>0</v>
      </c>
      <c r="GK466">
        <f>ROUND(R466*(R12)/100,2)</f>
        <v>0</v>
      </c>
      <c r="GL466">
        <f t="shared" si="383"/>
        <v>0</v>
      </c>
      <c r="GM466">
        <f t="shared" si="384"/>
        <v>2436.59</v>
      </c>
      <c r="GN466">
        <f t="shared" si="385"/>
        <v>0</v>
      </c>
      <c r="GO466">
        <f t="shared" si="386"/>
        <v>0</v>
      </c>
      <c r="GP466">
        <f t="shared" si="387"/>
        <v>2436.59</v>
      </c>
      <c r="GR466">
        <v>0</v>
      </c>
      <c r="GS466">
        <v>3</v>
      </c>
      <c r="GT466">
        <v>0</v>
      </c>
      <c r="GU466" t="s">
        <v>3</v>
      </c>
      <c r="GV466">
        <f t="shared" si="388"/>
        <v>0</v>
      </c>
      <c r="GW466">
        <v>1</v>
      </c>
      <c r="GX466">
        <f t="shared" si="389"/>
        <v>0</v>
      </c>
      <c r="HA466">
        <v>0</v>
      </c>
      <c r="HB466">
        <v>0</v>
      </c>
      <c r="HC466">
        <f t="shared" si="390"/>
        <v>0</v>
      </c>
      <c r="HE466" t="s">
        <v>3</v>
      </c>
      <c r="HF466" t="s">
        <v>3</v>
      </c>
      <c r="HM466" t="s">
        <v>3</v>
      </c>
      <c r="HN466" t="s">
        <v>3</v>
      </c>
      <c r="HO466" t="s">
        <v>3</v>
      </c>
      <c r="HP466" t="s">
        <v>3</v>
      </c>
      <c r="HQ466" t="s">
        <v>3</v>
      </c>
      <c r="IK466">
        <v>0</v>
      </c>
    </row>
    <row r="467" spans="1:245" x14ac:dyDescent="0.2">
      <c r="A467">
        <v>17</v>
      </c>
      <c r="B467">
        <v>1</v>
      </c>
      <c r="D467">
        <f>ROW(EtalonRes!A277)</f>
        <v>277</v>
      </c>
      <c r="E467" t="s">
        <v>289</v>
      </c>
      <c r="F467" t="s">
        <v>153</v>
      </c>
      <c r="G467" t="s">
        <v>248</v>
      </c>
      <c r="H467" t="s">
        <v>39</v>
      </c>
      <c r="I467">
        <v>2</v>
      </c>
      <c r="J467">
        <v>0</v>
      </c>
      <c r="K467">
        <v>2</v>
      </c>
      <c r="O467">
        <f t="shared" si="358"/>
        <v>6898.04</v>
      </c>
      <c r="P467">
        <f t="shared" si="359"/>
        <v>262.3</v>
      </c>
      <c r="Q467">
        <f t="shared" si="360"/>
        <v>0</v>
      </c>
      <c r="R467">
        <f t="shared" si="361"/>
        <v>0</v>
      </c>
      <c r="S467">
        <f t="shared" si="362"/>
        <v>6635.74</v>
      </c>
      <c r="T467">
        <f t="shared" si="363"/>
        <v>0</v>
      </c>
      <c r="U467">
        <f t="shared" si="364"/>
        <v>10</v>
      </c>
      <c r="V467">
        <f t="shared" si="365"/>
        <v>0</v>
      </c>
      <c r="W467">
        <f t="shared" si="366"/>
        <v>0</v>
      </c>
      <c r="X467">
        <f t="shared" si="367"/>
        <v>4645.0200000000004</v>
      </c>
      <c r="Y467">
        <f t="shared" si="367"/>
        <v>663.57</v>
      </c>
      <c r="AA467">
        <v>1471531721</v>
      </c>
      <c r="AB467">
        <f t="shared" si="368"/>
        <v>3449.02</v>
      </c>
      <c r="AC467">
        <f>ROUND((ES467),6)</f>
        <v>131.15</v>
      </c>
      <c r="AD467">
        <f>ROUND((((ET467)-(EU467))+AE467),6)</f>
        <v>0</v>
      </c>
      <c r="AE467">
        <f>ROUND((EU467),6)</f>
        <v>0</v>
      </c>
      <c r="AF467">
        <f>ROUND((EV467),6)</f>
        <v>3317.87</v>
      </c>
      <c r="AG467">
        <f t="shared" si="370"/>
        <v>0</v>
      </c>
      <c r="AH467">
        <f>(EW467)</f>
        <v>5</v>
      </c>
      <c r="AI467">
        <f>(EX467)</f>
        <v>0</v>
      </c>
      <c r="AJ467">
        <f t="shared" si="371"/>
        <v>0</v>
      </c>
      <c r="AK467">
        <v>3449.02</v>
      </c>
      <c r="AL467">
        <v>131.15</v>
      </c>
      <c r="AM467">
        <v>0</v>
      </c>
      <c r="AN467">
        <v>0</v>
      </c>
      <c r="AO467">
        <v>3317.87</v>
      </c>
      <c r="AP467">
        <v>0</v>
      </c>
      <c r="AQ467">
        <v>5</v>
      </c>
      <c r="AR467">
        <v>0</v>
      </c>
      <c r="AS467">
        <v>0</v>
      </c>
      <c r="AT467">
        <v>70</v>
      </c>
      <c r="AU467">
        <v>10</v>
      </c>
      <c r="AV467">
        <v>1</v>
      </c>
      <c r="AW467">
        <v>1</v>
      </c>
      <c r="AZ467">
        <v>1</v>
      </c>
      <c r="BA467">
        <v>1</v>
      </c>
      <c r="BB467">
        <v>1</v>
      </c>
      <c r="BC467">
        <v>1</v>
      </c>
      <c r="BD467" t="s">
        <v>3</v>
      </c>
      <c r="BE467" t="s">
        <v>3</v>
      </c>
      <c r="BF467" t="s">
        <v>3</v>
      </c>
      <c r="BG467" t="s">
        <v>3</v>
      </c>
      <c r="BH467">
        <v>0</v>
      </c>
      <c r="BI467">
        <v>4</v>
      </c>
      <c r="BJ467" t="s">
        <v>155</v>
      </c>
      <c r="BM467">
        <v>0</v>
      </c>
      <c r="BN467">
        <v>0</v>
      </c>
      <c r="BO467" t="s">
        <v>3</v>
      </c>
      <c r="BP467">
        <v>0</v>
      </c>
      <c r="BQ467">
        <v>1</v>
      </c>
      <c r="BR467">
        <v>0</v>
      </c>
      <c r="BS467">
        <v>1</v>
      </c>
      <c r="BT467">
        <v>1</v>
      </c>
      <c r="BU467">
        <v>1</v>
      </c>
      <c r="BV467">
        <v>1</v>
      </c>
      <c r="BW467">
        <v>1</v>
      </c>
      <c r="BX467">
        <v>1</v>
      </c>
      <c r="BY467" t="s">
        <v>3</v>
      </c>
      <c r="BZ467">
        <v>70</v>
      </c>
      <c r="CA467">
        <v>10</v>
      </c>
      <c r="CB467" t="s">
        <v>3</v>
      </c>
      <c r="CE467">
        <v>0</v>
      </c>
      <c r="CF467">
        <v>0</v>
      </c>
      <c r="CG467">
        <v>0</v>
      </c>
      <c r="CM467">
        <v>0</v>
      </c>
      <c r="CN467" t="s">
        <v>3</v>
      </c>
      <c r="CO467">
        <v>0</v>
      </c>
      <c r="CP467">
        <f t="shared" si="372"/>
        <v>6898.04</v>
      </c>
      <c r="CQ467">
        <f t="shared" si="373"/>
        <v>131.15</v>
      </c>
      <c r="CR467">
        <f>((((ET467)*BB467-(EU467)*BS467)+AE467*BS467)*AV467)</f>
        <v>0</v>
      </c>
      <c r="CS467">
        <f t="shared" si="375"/>
        <v>0</v>
      </c>
      <c r="CT467">
        <f t="shared" si="376"/>
        <v>3317.87</v>
      </c>
      <c r="CU467">
        <f t="shared" si="377"/>
        <v>0</v>
      </c>
      <c r="CV467">
        <f t="shared" si="378"/>
        <v>5</v>
      </c>
      <c r="CW467">
        <f t="shared" si="379"/>
        <v>0</v>
      </c>
      <c r="CX467">
        <f t="shared" si="379"/>
        <v>0</v>
      </c>
      <c r="CY467">
        <f t="shared" si="380"/>
        <v>4645.018</v>
      </c>
      <c r="CZ467">
        <f t="shared" si="381"/>
        <v>663.57399999999996</v>
      </c>
      <c r="DC467" t="s">
        <v>3</v>
      </c>
      <c r="DD467" t="s">
        <v>3</v>
      </c>
      <c r="DE467" t="s">
        <v>3</v>
      </c>
      <c r="DF467" t="s">
        <v>3</v>
      </c>
      <c r="DG467" t="s">
        <v>3</v>
      </c>
      <c r="DH467" t="s">
        <v>3</v>
      </c>
      <c r="DI467" t="s">
        <v>3</v>
      </c>
      <c r="DJ467" t="s">
        <v>3</v>
      </c>
      <c r="DK467" t="s">
        <v>3</v>
      </c>
      <c r="DL467" t="s">
        <v>3</v>
      </c>
      <c r="DM467" t="s">
        <v>3</v>
      </c>
      <c r="DN467">
        <v>0</v>
      </c>
      <c r="DO467">
        <v>0</v>
      </c>
      <c r="DP467">
        <v>1</v>
      </c>
      <c r="DQ467">
        <v>1</v>
      </c>
      <c r="DU467">
        <v>16987630</v>
      </c>
      <c r="DV467" t="s">
        <v>39</v>
      </c>
      <c r="DW467" t="s">
        <v>39</v>
      </c>
      <c r="DX467">
        <v>1</v>
      </c>
      <c r="DZ467" t="s">
        <v>3</v>
      </c>
      <c r="EA467" t="s">
        <v>3</v>
      </c>
      <c r="EB467" t="s">
        <v>3</v>
      </c>
      <c r="EC467" t="s">
        <v>3</v>
      </c>
      <c r="EE467">
        <v>1441815344</v>
      </c>
      <c r="EF467">
        <v>1</v>
      </c>
      <c r="EG467" t="s">
        <v>21</v>
      </c>
      <c r="EH467">
        <v>0</v>
      </c>
      <c r="EI467" t="s">
        <v>3</v>
      </c>
      <c r="EJ467">
        <v>4</v>
      </c>
      <c r="EK467">
        <v>0</v>
      </c>
      <c r="EL467" t="s">
        <v>22</v>
      </c>
      <c r="EM467" t="s">
        <v>23</v>
      </c>
      <c r="EO467" t="s">
        <v>3</v>
      </c>
      <c r="EQ467">
        <v>0</v>
      </c>
      <c r="ER467">
        <v>3449.02</v>
      </c>
      <c r="ES467">
        <v>131.15</v>
      </c>
      <c r="ET467">
        <v>0</v>
      </c>
      <c r="EU467">
        <v>0</v>
      </c>
      <c r="EV467">
        <v>3317.87</v>
      </c>
      <c r="EW467">
        <v>5</v>
      </c>
      <c r="EX467">
        <v>0</v>
      </c>
      <c r="EY467">
        <v>0</v>
      </c>
      <c r="FQ467">
        <v>0</v>
      </c>
      <c r="FR467">
        <f t="shared" si="382"/>
        <v>0</v>
      </c>
      <c r="FS467">
        <v>0</v>
      </c>
      <c r="FX467">
        <v>70</v>
      </c>
      <c r="FY467">
        <v>10</v>
      </c>
      <c r="GA467" t="s">
        <v>3</v>
      </c>
      <c r="GD467">
        <v>0</v>
      </c>
      <c r="GF467">
        <v>-587063322</v>
      </c>
      <c r="GG467">
        <v>2</v>
      </c>
      <c r="GH467">
        <v>1</v>
      </c>
      <c r="GI467">
        <v>-2</v>
      </c>
      <c r="GJ467">
        <v>0</v>
      </c>
      <c r="GK467">
        <f>ROUND(R467*(R12)/100,2)</f>
        <v>0</v>
      </c>
      <c r="GL467">
        <f t="shared" si="383"/>
        <v>0</v>
      </c>
      <c r="GM467">
        <f t="shared" si="384"/>
        <v>12206.63</v>
      </c>
      <c r="GN467">
        <f t="shared" si="385"/>
        <v>0</v>
      </c>
      <c r="GO467">
        <f t="shared" si="386"/>
        <v>0</v>
      </c>
      <c r="GP467">
        <f t="shared" si="387"/>
        <v>12206.63</v>
      </c>
      <c r="GR467">
        <v>0</v>
      </c>
      <c r="GS467">
        <v>3</v>
      </c>
      <c r="GT467">
        <v>0</v>
      </c>
      <c r="GU467" t="s">
        <v>3</v>
      </c>
      <c r="GV467">
        <f t="shared" si="388"/>
        <v>0</v>
      </c>
      <c r="GW467">
        <v>1</v>
      </c>
      <c r="GX467">
        <f t="shared" si="389"/>
        <v>0</v>
      </c>
      <c r="HA467">
        <v>0</v>
      </c>
      <c r="HB467">
        <v>0</v>
      </c>
      <c r="HC467">
        <f t="shared" si="390"/>
        <v>0</v>
      </c>
      <c r="HE467" t="s">
        <v>3</v>
      </c>
      <c r="HF467" t="s">
        <v>3</v>
      </c>
      <c r="HM467" t="s">
        <v>3</v>
      </c>
      <c r="HN467" t="s">
        <v>3</v>
      </c>
      <c r="HO467" t="s">
        <v>3</v>
      </c>
      <c r="HP467" t="s">
        <v>3</v>
      </c>
      <c r="HQ467" t="s">
        <v>3</v>
      </c>
      <c r="IK467">
        <v>0</v>
      </c>
    </row>
    <row r="469" spans="1:245" x14ac:dyDescent="0.2">
      <c r="A469" s="2">
        <v>51</v>
      </c>
      <c r="B469" s="2">
        <f>B456</f>
        <v>1</v>
      </c>
      <c r="C469" s="2">
        <f>A456</f>
        <v>5</v>
      </c>
      <c r="D469" s="2">
        <f>ROW(A456)</f>
        <v>456</v>
      </c>
      <c r="E469" s="2"/>
      <c r="F469" s="2" t="str">
        <f>IF(F456&lt;&gt;"",F456,"")</f>
        <v>Новый подраздел</v>
      </c>
      <c r="G469" s="2" t="str">
        <f>IF(G456&lt;&gt;"",G456,"")</f>
        <v>Техническое помещение общее на модуль</v>
      </c>
      <c r="H469" s="2">
        <v>0</v>
      </c>
      <c r="I469" s="2"/>
      <c r="J469" s="2"/>
      <c r="K469" s="2"/>
      <c r="L469" s="2"/>
      <c r="M469" s="2"/>
      <c r="N469" s="2"/>
      <c r="O469" s="2">
        <f t="shared" ref="O469:T469" si="391">ROUND(AB469,2)</f>
        <v>21352.21</v>
      </c>
      <c r="P469" s="2">
        <f t="shared" si="391"/>
        <v>6144.9</v>
      </c>
      <c r="Q469" s="2">
        <f t="shared" si="391"/>
        <v>1906.77</v>
      </c>
      <c r="R469" s="2">
        <f t="shared" si="391"/>
        <v>1193.32</v>
      </c>
      <c r="S469" s="2">
        <f t="shared" si="391"/>
        <v>13300.54</v>
      </c>
      <c r="T469" s="2">
        <f t="shared" si="391"/>
        <v>0</v>
      </c>
      <c r="U469" s="2">
        <f>AH469</f>
        <v>20.25</v>
      </c>
      <c r="V469" s="2">
        <f>AI469</f>
        <v>0</v>
      </c>
      <c r="W469" s="2">
        <f>ROUND(AJ469,2)</f>
        <v>0</v>
      </c>
      <c r="X469" s="2">
        <f>ROUND(AK469,2)</f>
        <v>9310.3799999999992</v>
      </c>
      <c r="Y469" s="2">
        <f>ROUND(AL469,2)</f>
        <v>1330.04</v>
      </c>
      <c r="Z469" s="2"/>
      <c r="AA469" s="2"/>
      <c r="AB469" s="2">
        <f>ROUND(SUMIF(AA460:AA467,"=1471531721",O460:O467),2)</f>
        <v>21352.21</v>
      </c>
      <c r="AC469" s="2">
        <f>ROUND(SUMIF(AA460:AA467,"=1471531721",P460:P467),2)</f>
        <v>6144.9</v>
      </c>
      <c r="AD469" s="2">
        <f>ROUND(SUMIF(AA460:AA467,"=1471531721",Q460:Q467),2)</f>
        <v>1906.77</v>
      </c>
      <c r="AE469" s="2">
        <f>ROUND(SUMIF(AA460:AA467,"=1471531721",R460:R467),2)</f>
        <v>1193.32</v>
      </c>
      <c r="AF469" s="2">
        <f>ROUND(SUMIF(AA460:AA467,"=1471531721",S460:S467),2)</f>
        <v>13300.54</v>
      </c>
      <c r="AG469" s="2">
        <f>ROUND(SUMIF(AA460:AA467,"=1471531721",T460:T467),2)</f>
        <v>0</v>
      </c>
      <c r="AH469" s="2">
        <f>SUMIF(AA460:AA467,"=1471531721",U460:U467)</f>
        <v>20.25</v>
      </c>
      <c r="AI469" s="2">
        <f>SUMIF(AA460:AA467,"=1471531721",V460:V467)</f>
        <v>0</v>
      </c>
      <c r="AJ469" s="2">
        <f>ROUND(SUMIF(AA460:AA467,"=1471531721",W460:W467),2)</f>
        <v>0</v>
      </c>
      <c r="AK469" s="2">
        <f>ROUND(SUMIF(AA460:AA467,"=1471531721",X460:X467),2)</f>
        <v>9310.3799999999992</v>
      </c>
      <c r="AL469" s="2">
        <f>ROUND(SUMIF(AA460:AA467,"=1471531721",Y460:Y467),2)</f>
        <v>1330.04</v>
      </c>
      <c r="AM469" s="2"/>
      <c r="AN469" s="2"/>
      <c r="AO469" s="2">
        <f t="shared" ref="AO469:BD469" si="392">ROUND(BX469,2)</f>
        <v>0</v>
      </c>
      <c r="AP469" s="2">
        <f t="shared" si="392"/>
        <v>0</v>
      </c>
      <c r="AQ469" s="2">
        <f t="shared" si="392"/>
        <v>0</v>
      </c>
      <c r="AR469" s="2">
        <f t="shared" si="392"/>
        <v>33281.410000000003</v>
      </c>
      <c r="AS469" s="2">
        <f t="shared" si="392"/>
        <v>0</v>
      </c>
      <c r="AT469" s="2">
        <f t="shared" si="392"/>
        <v>0</v>
      </c>
      <c r="AU469" s="2">
        <f t="shared" si="392"/>
        <v>33281.410000000003</v>
      </c>
      <c r="AV469" s="2">
        <f t="shared" si="392"/>
        <v>6144.9</v>
      </c>
      <c r="AW469" s="2">
        <f t="shared" si="392"/>
        <v>6144.9</v>
      </c>
      <c r="AX469" s="2">
        <f t="shared" si="392"/>
        <v>0</v>
      </c>
      <c r="AY469" s="2">
        <f t="shared" si="392"/>
        <v>6144.9</v>
      </c>
      <c r="AZ469" s="2">
        <f t="shared" si="392"/>
        <v>0</v>
      </c>
      <c r="BA469" s="2">
        <f t="shared" si="392"/>
        <v>0</v>
      </c>
      <c r="BB469" s="2">
        <f t="shared" si="392"/>
        <v>0</v>
      </c>
      <c r="BC469" s="2">
        <f t="shared" si="392"/>
        <v>0</v>
      </c>
      <c r="BD469" s="2">
        <f t="shared" si="392"/>
        <v>0</v>
      </c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>
        <f>ROUND(SUMIF(AA460:AA467,"=1471531721",FQ460:FQ467),2)</f>
        <v>0</v>
      </c>
      <c r="BY469" s="2">
        <f>ROUND(SUMIF(AA460:AA467,"=1471531721",FR460:FR467),2)</f>
        <v>0</v>
      </c>
      <c r="BZ469" s="2">
        <f>ROUND(SUMIF(AA460:AA467,"=1471531721",GL460:GL467),2)</f>
        <v>0</v>
      </c>
      <c r="CA469" s="2">
        <f>ROUND(SUMIF(AA460:AA467,"=1471531721",GM460:GM467),2)</f>
        <v>33281.410000000003</v>
      </c>
      <c r="CB469" s="2">
        <f>ROUND(SUMIF(AA460:AA467,"=1471531721",GN460:GN467),2)</f>
        <v>0</v>
      </c>
      <c r="CC469" s="2">
        <f>ROUND(SUMIF(AA460:AA467,"=1471531721",GO460:GO467),2)</f>
        <v>0</v>
      </c>
      <c r="CD469" s="2">
        <f>ROUND(SUMIF(AA460:AA467,"=1471531721",GP460:GP467),2)</f>
        <v>33281.410000000003</v>
      </c>
      <c r="CE469" s="2">
        <f>AC469-BX469</f>
        <v>6144.9</v>
      </c>
      <c r="CF469" s="2">
        <f>AC469-BY469</f>
        <v>6144.9</v>
      </c>
      <c r="CG469" s="2">
        <f>BX469-BZ469</f>
        <v>0</v>
      </c>
      <c r="CH469" s="2">
        <f>AC469-BX469-BY469+BZ469</f>
        <v>6144.9</v>
      </c>
      <c r="CI469" s="2">
        <f>BY469-BZ469</f>
        <v>0</v>
      </c>
      <c r="CJ469" s="2">
        <f>ROUND(SUMIF(AA460:AA467,"=1471531721",GX460:GX467),2)</f>
        <v>0</v>
      </c>
      <c r="CK469" s="2">
        <f>ROUND(SUMIF(AA460:AA467,"=1471531721",GY460:GY467),2)</f>
        <v>0</v>
      </c>
      <c r="CL469" s="2">
        <f>ROUND(SUMIF(AA460:AA467,"=1471531721",GZ460:GZ467),2)</f>
        <v>0</v>
      </c>
      <c r="CM469" s="2">
        <f>ROUND(SUMIF(AA460:AA467,"=1471531721",HD460:HD467),2)</f>
        <v>0</v>
      </c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3"/>
      <c r="DH469" s="3"/>
      <c r="DI469" s="3"/>
      <c r="DJ469" s="3"/>
      <c r="DK469" s="3"/>
      <c r="DL469" s="3"/>
      <c r="DM469" s="3"/>
      <c r="DN469" s="3"/>
      <c r="DO469" s="3"/>
      <c r="DP469" s="3"/>
      <c r="DQ469" s="3"/>
      <c r="DR469" s="3"/>
      <c r="DS469" s="3"/>
      <c r="DT469" s="3"/>
      <c r="DU469" s="3"/>
      <c r="DV469" s="3"/>
      <c r="DW469" s="3"/>
      <c r="DX469" s="3"/>
      <c r="DY469" s="3"/>
      <c r="DZ469" s="3"/>
      <c r="EA469" s="3"/>
      <c r="EB469" s="3"/>
      <c r="EC469" s="3"/>
      <c r="ED469" s="3"/>
      <c r="EE469" s="3"/>
      <c r="EF469" s="3"/>
      <c r="EG469" s="3"/>
      <c r="EH469" s="3"/>
      <c r="EI469" s="3"/>
      <c r="EJ469" s="3"/>
      <c r="EK469" s="3"/>
      <c r="EL469" s="3"/>
      <c r="EM469" s="3"/>
      <c r="EN469" s="3"/>
      <c r="EO469" s="3"/>
      <c r="EP469" s="3"/>
      <c r="EQ469" s="3"/>
      <c r="ER469" s="3"/>
      <c r="ES469" s="3"/>
      <c r="ET469" s="3"/>
      <c r="EU469" s="3"/>
      <c r="EV469" s="3"/>
      <c r="EW469" s="3"/>
      <c r="EX469" s="3"/>
      <c r="EY469" s="3"/>
      <c r="EZ469" s="3"/>
      <c r="FA469" s="3"/>
      <c r="FB469" s="3"/>
      <c r="FC469" s="3"/>
      <c r="FD469" s="3"/>
      <c r="FE469" s="3"/>
      <c r="FF469" s="3"/>
      <c r="FG469" s="3"/>
      <c r="FH469" s="3"/>
      <c r="FI469" s="3"/>
      <c r="FJ469" s="3"/>
      <c r="FK469" s="3"/>
      <c r="FL469" s="3"/>
      <c r="FM469" s="3"/>
      <c r="FN469" s="3"/>
      <c r="FO469" s="3"/>
      <c r="FP469" s="3"/>
      <c r="FQ469" s="3"/>
      <c r="FR469" s="3"/>
      <c r="FS469" s="3"/>
      <c r="FT469" s="3"/>
      <c r="FU469" s="3"/>
      <c r="FV469" s="3"/>
      <c r="FW469" s="3"/>
      <c r="FX469" s="3"/>
      <c r="FY469" s="3"/>
      <c r="FZ469" s="3"/>
      <c r="GA469" s="3"/>
      <c r="GB469" s="3"/>
      <c r="GC469" s="3"/>
      <c r="GD469" s="3"/>
      <c r="GE469" s="3"/>
      <c r="GF469" s="3"/>
      <c r="GG469" s="3"/>
      <c r="GH469" s="3"/>
      <c r="GI469" s="3"/>
      <c r="GJ469" s="3"/>
      <c r="GK469" s="3"/>
      <c r="GL469" s="3"/>
      <c r="GM469" s="3"/>
      <c r="GN469" s="3"/>
      <c r="GO469" s="3"/>
      <c r="GP469" s="3"/>
      <c r="GQ469" s="3"/>
      <c r="GR469" s="3"/>
      <c r="GS469" s="3"/>
      <c r="GT469" s="3"/>
      <c r="GU469" s="3"/>
      <c r="GV469" s="3"/>
      <c r="GW469" s="3"/>
      <c r="GX469" s="3">
        <v>0</v>
      </c>
    </row>
    <row r="471" spans="1:245" x14ac:dyDescent="0.2">
      <c r="A471" s="4">
        <v>50</v>
      </c>
      <c r="B471" s="4">
        <v>0</v>
      </c>
      <c r="C471" s="4">
        <v>0</v>
      </c>
      <c r="D471" s="4">
        <v>1</v>
      </c>
      <c r="E471" s="4">
        <v>201</v>
      </c>
      <c r="F471" s="4">
        <f>ROUND(Source!O469,O471)</f>
        <v>21352.21</v>
      </c>
      <c r="G471" s="4" t="s">
        <v>86</v>
      </c>
      <c r="H471" s="4" t="s">
        <v>87</v>
      </c>
      <c r="I471" s="4"/>
      <c r="J471" s="4"/>
      <c r="K471" s="4">
        <v>201</v>
      </c>
      <c r="L471" s="4">
        <v>1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21352.21</v>
      </c>
      <c r="X471" s="4">
        <v>1</v>
      </c>
      <c r="Y471" s="4">
        <v>21352.21</v>
      </c>
      <c r="Z471" s="4"/>
      <c r="AA471" s="4"/>
      <c r="AB471" s="4"/>
    </row>
    <row r="472" spans="1:245" x14ac:dyDescent="0.2">
      <c r="A472" s="4">
        <v>50</v>
      </c>
      <c r="B472" s="4">
        <v>0</v>
      </c>
      <c r="C472" s="4">
        <v>0</v>
      </c>
      <c r="D472" s="4">
        <v>1</v>
      </c>
      <c r="E472" s="4">
        <v>202</v>
      </c>
      <c r="F472" s="4">
        <f>ROUND(Source!P469,O472)</f>
        <v>6144.9</v>
      </c>
      <c r="G472" s="4" t="s">
        <v>88</v>
      </c>
      <c r="H472" s="4" t="s">
        <v>89</v>
      </c>
      <c r="I472" s="4"/>
      <c r="J472" s="4"/>
      <c r="K472" s="4">
        <v>202</v>
      </c>
      <c r="L472" s="4">
        <v>2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6144.9</v>
      </c>
      <c r="X472" s="4">
        <v>1</v>
      </c>
      <c r="Y472" s="4">
        <v>6144.9</v>
      </c>
      <c r="Z472" s="4"/>
      <c r="AA472" s="4"/>
      <c r="AB472" s="4"/>
    </row>
    <row r="473" spans="1:245" x14ac:dyDescent="0.2">
      <c r="A473" s="4">
        <v>50</v>
      </c>
      <c r="B473" s="4">
        <v>0</v>
      </c>
      <c r="C473" s="4">
        <v>0</v>
      </c>
      <c r="D473" s="4">
        <v>1</v>
      </c>
      <c r="E473" s="4">
        <v>222</v>
      </c>
      <c r="F473" s="4">
        <f>ROUND(Source!AO469,O473)</f>
        <v>0</v>
      </c>
      <c r="G473" s="4" t="s">
        <v>90</v>
      </c>
      <c r="H473" s="4" t="s">
        <v>91</v>
      </c>
      <c r="I473" s="4"/>
      <c r="J473" s="4"/>
      <c r="K473" s="4">
        <v>222</v>
      </c>
      <c r="L473" s="4">
        <v>3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45" x14ac:dyDescent="0.2">
      <c r="A474" s="4">
        <v>50</v>
      </c>
      <c r="B474" s="4">
        <v>0</v>
      </c>
      <c r="C474" s="4">
        <v>0</v>
      </c>
      <c r="D474" s="4">
        <v>1</v>
      </c>
      <c r="E474" s="4">
        <v>225</v>
      </c>
      <c r="F474" s="4">
        <f>ROUND(Source!AV469,O474)</f>
        <v>6144.9</v>
      </c>
      <c r="G474" s="4" t="s">
        <v>92</v>
      </c>
      <c r="H474" s="4" t="s">
        <v>93</v>
      </c>
      <c r="I474" s="4"/>
      <c r="J474" s="4"/>
      <c r="K474" s="4">
        <v>225</v>
      </c>
      <c r="L474" s="4">
        <v>4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6144.9</v>
      </c>
      <c r="X474" s="4">
        <v>1</v>
      </c>
      <c r="Y474" s="4">
        <v>6144.9</v>
      </c>
      <c r="Z474" s="4"/>
      <c r="AA474" s="4"/>
      <c r="AB474" s="4"/>
    </row>
    <row r="475" spans="1:245" x14ac:dyDescent="0.2">
      <c r="A475" s="4">
        <v>50</v>
      </c>
      <c r="B475" s="4">
        <v>0</v>
      </c>
      <c r="C475" s="4">
        <v>0</v>
      </c>
      <c r="D475" s="4">
        <v>1</v>
      </c>
      <c r="E475" s="4">
        <v>226</v>
      </c>
      <c r="F475" s="4">
        <f>ROUND(Source!AW469,O475)</f>
        <v>6144.9</v>
      </c>
      <c r="G475" s="4" t="s">
        <v>94</v>
      </c>
      <c r="H475" s="4" t="s">
        <v>95</v>
      </c>
      <c r="I475" s="4"/>
      <c r="J475" s="4"/>
      <c r="K475" s="4">
        <v>226</v>
      </c>
      <c r="L475" s="4">
        <v>5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6144.9</v>
      </c>
      <c r="X475" s="4">
        <v>1</v>
      </c>
      <c r="Y475" s="4">
        <v>6144.9</v>
      </c>
      <c r="Z475" s="4"/>
      <c r="AA475" s="4"/>
      <c r="AB475" s="4"/>
    </row>
    <row r="476" spans="1:245" x14ac:dyDescent="0.2">
      <c r="A476" s="4">
        <v>50</v>
      </c>
      <c r="B476" s="4">
        <v>0</v>
      </c>
      <c r="C476" s="4">
        <v>0</v>
      </c>
      <c r="D476" s="4">
        <v>1</v>
      </c>
      <c r="E476" s="4">
        <v>227</v>
      </c>
      <c r="F476" s="4">
        <f>ROUND(Source!AX469,O476)</f>
        <v>0</v>
      </c>
      <c r="G476" s="4" t="s">
        <v>96</v>
      </c>
      <c r="H476" s="4" t="s">
        <v>97</v>
      </c>
      <c r="I476" s="4"/>
      <c r="J476" s="4"/>
      <c r="K476" s="4">
        <v>227</v>
      </c>
      <c r="L476" s="4">
        <v>6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45" x14ac:dyDescent="0.2">
      <c r="A477" s="4">
        <v>50</v>
      </c>
      <c r="B477" s="4">
        <v>0</v>
      </c>
      <c r="C477" s="4">
        <v>0</v>
      </c>
      <c r="D477" s="4">
        <v>1</v>
      </c>
      <c r="E477" s="4">
        <v>228</v>
      </c>
      <c r="F477" s="4">
        <f>ROUND(Source!AY469,O477)</f>
        <v>6144.9</v>
      </c>
      <c r="G477" s="4" t="s">
        <v>98</v>
      </c>
      <c r="H477" s="4" t="s">
        <v>99</v>
      </c>
      <c r="I477" s="4"/>
      <c r="J477" s="4"/>
      <c r="K477" s="4">
        <v>228</v>
      </c>
      <c r="L477" s="4">
        <v>7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6144.9</v>
      </c>
      <c r="X477" s="4">
        <v>1</v>
      </c>
      <c r="Y477" s="4">
        <v>6144.9</v>
      </c>
      <c r="Z477" s="4"/>
      <c r="AA477" s="4"/>
      <c r="AB477" s="4"/>
    </row>
    <row r="478" spans="1:245" x14ac:dyDescent="0.2">
      <c r="A478" s="4">
        <v>50</v>
      </c>
      <c r="B478" s="4">
        <v>0</v>
      </c>
      <c r="C478" s="4">
        <v>0</v>
      </c>
      <c r="D478" s="4">
        <v>1</v>
      </c>
      <c r="E478" s="4">
        <v>216</v>
      </c>
      <c r="F478" s="4">
        <f>ROUND(Source!AP469,O478)</f>
        <v>0</v>
      </c>
      <c r="G478" s="4" t="s">
        <v>100</v>
      </c>
      <c r="H478" s="4" t="s">
        <v>101</v>
      </c>
      <c r="I478" s="4"/>
      <c r="J478" s="4"/>
      <c r="K478" s="4">
        <v>216</v>
      </c>
      <c r="L478" s="4">
        <v>8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45" x14ac:dyDescent="0.2">
      <c r="A479" s="4">
        <v>50</v>
      </c>
      <c r="B479" s="4">
        <v>0</v>
      </c>
      <c r="C479" s="4">
        <v>0</v>
      </c>
      <c r="D479" s="4">
        <v>1</v>
      </c>
      <c r="E479" s="4">
        <v>223</v>
      </c>
      <c r="F479" s="4">
        <f>ROUND(Source!AQ469,O479)</f>
        <v>0</v>
      </c>
      <c r="G479" s="4" t="s">
        <v>102</v>
      </c>
      <c r="H479" s="4" t="s">
        <v>103</v>
      </c>
      <c r="I479" s="4"/>
      <c r="J479" s="4"/>
      <c r="K479" s="4">
        <v>223</v>
      </c>
      <c r="L479" s="4">
        <v>9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45" x14ac:dyDescent="0.2">
      <c r="A480" s="4">
        <v>50</v>
      </c>
      <c r="B480" s="4">
        <v>0</v>
      </c>
      <c r="C480" s="4">
        <v>0</v>
      </c>
      <c r="D480" s="4">
        <v>1</v>
      </c>
      <c r="E480" s="4">
        <v>229</v>
      </c>
      <c r="F480" s="4">
        <f>ROUND(Source!AZ469,O480)</f>
        <v>0</v>
      </c>
      <c r="G480" s="4" t="s">
        <v>104</v>
      </c>
      <c r="H480" s="4" t="s">
        <v>105</v>
      </c>
      <c r="I480" s="4"/>
      <c r="J480" s="4"/>
      <c r="K480" s="4">
        <v>229</v>
      </c>
      <c r="L480" s="4">
        <v>10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203</v>
      </c>
      <c r="F481" s="4">
        <f>ROUND(Source!Q469,O481)</f>
        <v>1906.77</v>
      </c>
      <c r="G481" s="4" t="s">
        <v>106</v>
      </c>
      <c r="H481" s="4" t="s">
        <v>107</v>
      </c>
      <c r="I481" s="4"/>
      <c r="J481" s="4"/>
      <c r="K481" s="4">
        <v>203</v>
      </c>
      <c r="L481" s="4">
        <v>11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1906.77</v>
      </c>
      <c r="X481" s="4">
        <v>1</v>
      </c>
      <c r="Y481" s="4">
        <v>1906.77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231</v>
      </c>
      <c r="F482" s="4">
        <f>ROUND(Source!BB469,O482)</f>
        <v>0</v>
      </c>
      <c r="G482" s="4" t="s">
        <v>108</v>
      </c>
      <c r="H482" s="4" t="s">
        <v>109</v>
      </c>
      <c r="I482" s="4"/>
      <c r="J482" s="4"/>
      <c r="K482" s="4">
        <v>231</v>
      </c>
      <c r="L482" s="4">
        <v>12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204</v>
      </c>
      <c r="F483" s="4">
        <f>ROUND(Source!R469,O483)</f>
        <v>1193.32</v>
      </c>
      <c r="G483" s="4" t="s">
        <v>110</v>
      </c>
      <c r="H483" s="4" t="s">
        <v>111</v>
      </c>
      <c r="I483" s="4"/>
      <c r="J483" s="4"/>
      <c r="K483" s="4">
        <v>204</v>
      </c>
      <c r="L483" s="4">
        <v>13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1193.32</v>
      </c>
      <c r="X483" s="4">
        <v>1</v>
      </c>
      <c r="Y483" s="4">
        <v>1193.32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205</v>
      </c>
      <c r="F484" s="4">
        <f>ROUND(Source!S469,O484)</f>
        <v>13300.54</v>
      </c>
      <c r="G484" s="4" t="s">
        <v>112</v>
      </c>
      <c r="H484" s="4" t="s">
        <v>113</v>
      </c>
      <c r="I484" s="4"/>
      <c r="J484" s="4"/>
      <c r="K484" s="4">
        <v>205</v>
      </c>
      <c r="L484" s="4">
        <v>14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13300.54</v>
      </c>
      <c r="X484" s="4">
        <v>1</v>
      </c>
      <c r="Y484" s="4">
        <v>13300.54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232</v>
      </c>
      <c r="F485" s="4">
        <f>ROUND(Source!BC469,O485)</f>
        <v>0</v>
      </c>
      <c r="G485" s="4" t="s">
        <v>114</v>
      </c>
      <c r="H485" s="4" t="s">
        <v>115</v>
      </c>
      <c r="I485" s="4"/>
      <c r="J485" s="4"/>
      <c r="K485" s="4">
        <v>232</v>
      </c>
      <c r="L485" s="4">
        <v>15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0</v>
      </c>
      <c r="X485" s="4">
        <v>1</v>
      </c>
      <c r="Y485" s="4">
        <v>0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214</v>
      </c>
      <c r="F486" s="4">
        <f>ROUND(Source!AS469,O486)</f>
        <v>0</v>
      </c>
      <c r="G486" s="4" t="s">
        <v>116</v>
      </c>
      <c r="H486" s="4" t="s">
        <v>117</v>
      </c>
      <c r="I486" s="4"/>
      <c r="J486" s="4"/>
      <c r="K486" s="4">
        <v>214</v>
      </c>
      <c r="L486" s="4">
        <v>16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215</v>
      </c>
      <c r="F487" s="4">
        <f>ROUND(Source!AT469,O487)</f>
        <v>0</v>
      </c>
      <c r="G487" s="4" t="s">
        <v>118</v>
      </c>
      <c r="H487" s="4" t="s">
        <v>119</v>
      </c>
      <c r="I487" s="4"/>
      <c r="J487" s="4"/>
      <c r="K487" s="4">
        <v>215</v>
      </c>
      <c r="L487" s="4">
        <v>17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0</v>
      </c>
      <c r="X487" s="4">
        <v>1</v>
      </c>
      <c r="Y487" s="4">
        <v>0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217</v>
      </c>
      <c r="F488" s="4">
        <f>ROUND(Source!AU469,O488)</f>
        <v>33281.410000000003</v>
      </c>
      <c r="G488" s="4" t="s">
        <v>120</v>
      </c>
      <c r="H488" s="4" t="s">
        <v>121</v>
      </c>
      <c r="I488" s="4"/>
      <c r="J488" s="4"/>
      <c r="K488" s="4">
        <v>217</v>
      </c>
      <c r="L488" s="4">
        <v>18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33281.410000000003</v>
      </c>
      <c r="X488" s="4">
        <v>1</v>
      </c>
      <c r="Y488" s="4">
        <v>33281.410000000003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230</v>
      </c>
      <c r="F489" s="4">
        <f>ROUND(Source!BA469,O489)</f>
        <v>0</v>
      </c>
      <c r="G489" s="4" t="s">
        <v>122</v>
      </c>
      <c r="H489" s="4" t="s">
        <v>123</v>
      </c>
      <c r="I489" s="4"/>
      <c r="J489" s="4"/>
      <c r="K489" s="4">
        <v>230</v>
      </c>
      <c r="L489" s="4">
        <v>19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0</v>
      </c>
      <c r="X489" s="4">
        <v>1</v>
      </c>
      <c r="Y489" s="4">
        <v>0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206</v>
      </c>
      <c r="F490" s="4">
        <f>ROUND(Source!T469,O490)</f>
        <v>0</v>
      </c>
      <c r="G490" s="4" t="s">
        <v>124</v>
      </c>
      <c r="H490" s="4" t="s">
        <v>125</v>
      </c>
      <c r="I490" s="4"/>
      <c r="J490" s="4"/>
      <c r="K490" s="4">
        <v>206</v>
      </c>
      <c r="L490" s="4">
        <v>20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207</v>
      </c>
      <c r="F491" s="4">
        <f>Source!U469</f>
        <v>20.25</v>
      </c>
      <c r="G491" s="4" t="s">
        <v>126</v>
      </c>
      <c r="H491" s="4" t="s">
        <v>127</v>
      </c>
      <c r="I491" s="4"/>
      <c r="J491" s="4"/>
      <c r="K491" s="4">
        <v>207</v>
      </c>
      <c r="L491" s="4">
        <v>21</v>
      </c>
      <c r="M491" s="4">
        <v>3</v>
      </c>
      <c r="N491" s="4" t="s">
        <v>3</v>
      </c>
      <c r="O491" s="4">
        <v>-1</v>
      </c>
      <c r="P491" s="4"/>
      <c r="Q491" s="4"/>
      <c r="R491" s="4"/>
      <c r="S491" s="4"/>
      <c r="T491" s="4"/>
      <c r="U491" s="4"/>
      <c r="V491" s="4"/>
      <c r="W491" s="4">
        <v>20.25</v>
      </c>
      <c r="X491" s="4">
        <v>1</v>
      </c>
      <c r="Y491" s="4">
        <v>20.25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208</v>
      </c>
      <c r="F492" s="4">
        <f>Source!V469</f>
        <v>0</v>
      </c>
      <c r="G492" s="4" t="s">
        <v>128</v>
      </c>
      <c r="H492" s="4" t="s">
        <v>129</v>
      </c>
      <c r="I492" s="4"/>
      <c r="J492" s="4"/>
      <c r="K492" s="4">
        <v>208</v>
      </c>
      <c r="L492" s="4">
        <v>22</v>
      </c>
      <c r="M492" s="4">
        <v>3</v>
      </c>
      <c r="N492" s="4" t="s">
        <v>3</v>
      </c>
      <c r="O492" s="4">
        <v>-1</v>
      </c>
      <c r="P492" s="4"/>
      <c r="Q492" s="4"/>
      <c r="R492" s="4"/>
      <c r="S492" s="4"/>
      <c r="T492" s="4"/>
      <c r="U492" s="4"/>
      <c r="V492" s="4"/>
      <c r="W492" s="4">
        <v>0</v>
      </c>
      <c r="X492" s="4">
        <v>1</v>
      </c>
      <c r="Y492" s="4">
        <v>0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209</v>
      </c>
      <c r="F493" s="4">
        <f>ROUND(Source!W469,O493)</f>
        <v>0</v>
      </c>
      <c r="G493" s="4" t="s">
        <v>130</v>
      </c>
      <c r="H493" s="4" t="s">
        <v>131</v>
      </c>
      <c r="I493" s="4"/>
      <c r="J493" s="4"/>
      <c r="K493" s="4">
        <v>209</v>
      </c>
      <c r="L493" s="4">
        <v>23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233</v>
      </c>
      <c r="F494" s="4">
        <f>ROUND(Source!BD469,O494)</f>
        <v>0</v>
      </c>
      <c r="G494" s="4" t="s">
        <v>132</v>
      </c>
      <c r="H494" s="4" t="s">
        <v>133</v>
      </c>
      <c r="I494" s="4"/>
      <c r="J494" s="4"/>
      <c r="K494" s="4">
        <v>233</v>
      </c>
      <c r="L494" s="4">
        <v>24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210</v>
      </c>
      <c r="F495" s="4">
        <f>ROUND(Source!X469,O495)</f>
        <v>9310.3799999999992</v>
      </c>
      <c r="G495" s="4" t="s">
        <v>134</v>
      </c>
      <c r="H495" s="4" t="s">
        <v>135</v>
      </c>
      <c r="I495" s="4"/>
      <c r="J495" s="4"/>
      <c r="K495" s="4">
        <v>210</v>
      </c>
      <c r="L495" s="4">
        <v>25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9310.3799999999992</v>
      </c>
      <c r="X495" s="4">
        <v>1</v>
      </c>
      <c r="Y495" s="4">
        <v>9310.3799999999992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211</v>
      </c>
      <c r="F496" s="4">
        <f>ROUND(Source!Y469,O496)</f>
        <v>1330.04</v>
      </c>
      <c r="G496" s="4" t="s">
        <v>136</v>
      </c>
      <c r="H496" s="4" t="s">
        <v>137</v>
      </c>
      <c r="I496" s="4"/>
      <c r="J496" s="4"/>
      <c r="K496" s="4">
        <v>211</v>
      </c>
      <c r="L496" s="4">
        <v>26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1330.04</v>
      </c>
      <c r="X496" s="4">
        <v>1</v>
      </c>
      <c r="Y496" s="4">
        <v>1330.04</v>
      </c>
      <c r="Z496" s="4"/>
      <c r="AA496" s="4"/>
      <c r="AB496" s="4"/>
    </row>
    <row r="497" spans="1:245" x14ac:dyDescent="0.2">
      <c r="A497" s="4">
        <v>50</v>
      </c>
      <c r="B497" s="4">
        <v>0</v>
      </c>
      <c r="C497" s="4">
        <v>0</v>
      </c>
      <c r="D497" s="4">
        <v>1</v>
      </c>
      <c r="E497" s="4">
        <v>224</v>
      </c>
      <c r="F497" s="4">
        <f>ROUND(Source!AR469,O497)</f>
        <v>33281.410000000003</v>
      </c>
      <c r="G497" s="4" t="s">
        <v>138</v>
      </c>
      <c r="H497" s="4" t="s">
        <v>139</v>
      </c>
      <c r="I497" s="4"/>
      <c r="J497" s="4"/>
      <c r="K497" s="4">
        <v>224</v>
      </c>
      <c r="L497" s="4">
        <v>27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33281.410000000003</v>
      </c>
      <c r="X497" s="4">
        <v>1</v>
      </c>
      <c r="Y497" s="4">
        <v>33281.410000000003</v>
      </c>
      <c r="Z497" s="4"/>
      <c r="AA497" s="4"/>
      <c r="AB497" s="4"/>
    </row>
    <row r="499" spans="1:245" x14ac:dyDescent="0.2">
      <c r="A499" s="1">
        <v>5</v>
      </c>
      <c r="B499" s="1">
        <v>1</v>
      </c>
      <c r="C499" s="1"/>
      <c r="D499" s="1">
        <f>ROW(A529)</f>
        <v>529</v>
      </c>
      <c r="E499" s="1"/>
      <c r="F499" s="1" t="s">
        <v>14</v>
      </c>
      <c r="G499" s="1" t="s">
        <v>259</v>
      </c>
      <c r="H499" s="1" t="s">
        <v>3</v>
      </c>
      <c r="I499" s="1">
        <v>0</v>
      </c>
      <c r="J499" s="1"/>
      <c r="K499" s="1">
        <v>-1</v>
      </c>
      <c r="L499" s="1"/>
      <c r="M499" s="1" t="s">
        <v>3</v>
      </c>
      <c r="N499" s="1"/>
      <c r="O499" s="1"/>
      <c r="P499" s="1"/>
      <c r="Q499" s="1"/>
      <c r="R499" s="1"/>
      <c r="S499" s="1">
        <v>0</v>
      </c>
      <c r="T499" s="1"/>
      <c r="U499" s="1" t="s">
        <v>3</v>
      </c>
      <c r="V499" s="1">
        <v>0</v>
      </c>
      <c r="W499" s="1"/>
      <c r="X499" s="1"/>
      <c r="Y499" s="1"/>
      <c r="Z499" s="1"/>
      <c r="AA499" s="1"/>
      <c r="AB499" s="1" t="s">
        <v>3</v>
      </c>
      <c r="AC499" s="1" t="s">
        <v>3</v>
      </c>
      <c r="AD499" s="1" t="s">
        <v>3</v>
      </c>
      <c r="AE499" s="1" t="s">
        <v>3</v>
      </c>
      <c r="AF499" s="1" t="s">
        <v>3</v>
      </c>
      <c r="AG499" s="1" t="s">
        <v>3</v>
      </c>
      <c r="AH499" s="1"/>
      <c r="AI499" s="1"/>
      <c r="AJ499" s="1"/>
      <c r="AK499" s="1"/>
      <c r="AL499" s="1"/>
      <c r="AM499" s="1"/>
      <c r="AN499" s="1"/>
      <c r="AO499" s="1"/>
      <c r="AP499" s="1" t="s">
        <v>3</v>
      </c>
      <c r="AQ499" s="1" t="s">
        <v>3</v>
      </c>
      <c r="AR499" s="1" t="s">
        <v>3</v>
      </c>
      <c r="AS499" s="1"/>
      <c r="AT499" s="1"/>
      <c r="AU499" s="1"/>
      <c r="AV499" s="1"/>
      <c r="AW499" s="1"/>
      <c r="AX499" s="1"/>
      <c r="AY499" s="1"/>
      <c r="AZ499" s="1" t="s">
        <v>3</v>
      </c>
      <c r="BA499" s="1"/>
      <c r="BB499" s="1" t="s">
        <v>3</v>
      </c>
      <c r="BC499" s="1" t="s">
        <v>3</v>
      </c>
      <c r="BD499" s="1" t="s">
        <v>3</v>
      </c>
      <c r="BE499" s="1" t="s">
        <v>3</v>
      </c>
      <c r="BF499" s="1" t="s">
        <v>3</v>
      </c>
      <c r="BG499" s="1" t="s">
        <v>3</v>
      </c>
      <c r="BH499" s="1" t="s">
        <v>3</v>
      </c>
      <c r="BI499" s="1" t="s">
        <v>3</v>
      </c>
      <c r="BJ499" s="1" t="s">
        <v>3</v>
      </c>
      <c r="BK499" s="1" t="s">
        <v>3</v>
      </c>
      <c r="BL499" s="1" t="s">
        <v>3</v>
      </c>
      <c r="BM499" s="1" t="s">
        <v>3</v>
      </c>
      <c r="BN499" s="1" t="s">
        <v>3</v>
      </c>
      <c r="BO499" s="1" t="s">
        <v>3</v>
      </c>
      <c r="BP499" s="1" t="s">
        <v>3</v>
      </c>
      <c r="BQ499" s="1"/>
      <c r="BR499" s="1"/>
      <c r="BS499" s="1"/>
      <c r="BT499" s="1"/>
      <c r="BU499" s="1"/>
      <c r="BV499" s="1"/>
      <c r="BW499" s="1"/>
      <c r="BX499" s="1">
        <v>0</v>
      </c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>
        <v>0</v>
      </c>
    </row>
    <row r="501" spans="1:245" x14ac:dyDescent="0.2">
      <c r="A501" s="2">
        <v>52</v>
      </c>
      <c r="B501" s="2">
        <f t="shared" ref="B501:G501" si="393">B529</f>
        <v>1</v>
      </c>
      <c r="C501" s="2">
        <f t="shared" si="393"/>
        <v>5</v>
      </c>
      <c r="D501" s="2">
        <f t="shared" si="393"/>
        <v>499</v>
      </c>
      <c r="E501" s="2">
        <f t="shared" si="393"/>
        <v>0</v>
      </c>
      <c r="F501" s="2" t="str">
        <f t="shared" si="393"/>
        <v>Новый подраздел</v>
      </c>
      <c r="G501" s="2" t="str">
        <f t="shared" si="393"/>
        <v>Электрооборудование</v>
      </c>
      <c r="H501" s="2"/>
      <c r="I501" s="2"/>
      <c r="J501" s="2"/>
      <c r="K501" s="2"/>
      <c r="L501" s="2"/>
      <c r="M501" s="2"/>
      <c r="N501" s="2"/>
      <c r="O501" s="2">
        <f t="shared" ref="O501:AT501" si="394">O529</f>
        <v>20984.48</v>
      </c>
      <c r="P501" s="2">
        <f t="shared" si="394"/>
        <v>236.75</v>
      </c>
      <c r="Q501" s="2">
        <f t="shared" si="394"/>
        <v>36.94</v>
      </c>
      <c r="R501" s="2">
        <f t="shared" si="394"/>
        <v>23.13</v>
      </c>
      <c r="S501" s="2">
        <f t="shared" si="394"/>
        <v>20710.79</v>
      </c>
      <c r="T501" s="2">
        <f t="shared" si="394"/>
        <v>0</v>
      </c>
      <c r="U501" s="2">
        <f t="shared" si="394"/>
        <v>34.126000000000005</v>
      </c>
      <c r="V501" s="2">
        <f t="shared" si="394"/>
        <v>0</v>
      </c>
      <c r="W501" s="2">
        <f t="shared" si="394"/>
        <v>0</v>
      </c>
      <c r="X501" s="2">
        <f t="shared" si="394"/>
        <v>14497.54</v>
      </c>
      <c r="Y501" s="2">
        <f t="shared" si="394"/>
        <v>2071.08</v>
      </c>
      <c r="Z501" s="2">
        <f t="shared" si="394"/>
        <v>0</v>
      </c>
      <c r="AA501" s="2">
        <f t="shared" si="394"/>
        <v>0</v>
      </c>
      <c r="AB501" s="2">
        <f t="shared" si="394"/>
        <v>20984.48</v>
      </c>
      <c r="AC501" s="2">
        <f t="shared" si="394"/>
        <v>236.75</v>
      </c>
      <c r="AD501" s="2">
        <f t="shared" si="394"/>
        <v>36.94</v>
      </c>
      <c r="AE501" s="2">
        <f t="shared" si="394"/>
        <v>23.13</v>
      </c>
      <c r="AF501" s="2">
        <f t="shared" si="394"/>
        <v>20710.79</v>
      </c>
      <c r="AG501" s="2">
        <f t="shared" si="394"/>
        <v>0</v>
      </c>
      <c r="AH501" s="2">
        <f t="shared" si="394"/>
        <v>34.126000000000005</v>
      </c>
      <c r="AI501" s="2">
        <f t="shared" si="394"/>
        <v>0</v>
      </c>
      <c r="AJ501" s="2">
        <f t="shared" si="394"/>
        <v>0</v>
      </c>
      <c r="AK501" s="2">
        <f t="shared" si="394"/>
        <v>14497.54</v>
      </c>
      <c r="AL501" s="2">
        <f t="shared" si="394"/>
        <v>2071.08</v>
      </c>
      <c r="AM501" s="2">
        <f t="shared" si="394"/>
        <v>0</v>
      </c>
      <c r="AN501" s="2">
        <f t="shared" si="394"/>
        <v>0</v>
      </c>
      <c r="AO501" s="2">
        <f t="shared" si="394"/>
        <v>0</v>
      </c>
      <c r="AP501" s="2">
        <f t="shared" si="394"/>
        <v>0</v>
      </c>
      <c r="AQ501" s="2">
        <f t="shared" si="394"/>
        <v>0</v>
      </c>
      <c r="AR501" s="2">
        <f t="shared" si="394"/>
        <v>37578.080000000002</v>
      </c>
      <c r="AS501" s="2">
        <f t="shared" si="394"/>
        <v>0</v>
      </c>
      <c r="AT501" s="2">
        <f t="shared" si="394"/>
        <v>0</v>
      </c>
      <c r="AU501" s="2">
        <f t="shared" ref="AU501:BZ501" si="395">AU529</f>
        <v>37578.080000000002</v>
      </c>
      <c r="AV501" s="2">
        <f t="shared" si="395"/>
        <v>236.75</v>
      </c>
      <c r="AW501" s="2">
        <f t="shared" si="395"/>
        <v>236.75</v>
      </c>
      <c r="AX501" s="2">
        <f t="shared" si="395"/>
        <v>0</v>
      </c>
      <c r="AY501" s="2">
        <f t="shared" si="395"/>
        <v>236.75</v>
      </c>
      <c r="AZ501" s="2">
        <f t="shared" si="395"/>
        <v>0</v>
      </c>
      <c r="BA501" s="2">
        <f t="shared" si="395"/>
        <v>0</v>
      </c>
      <c r="BB501" s="2">
        <f t="shared" si="395"/>
        <v>0</v>
      </c>
      <c r="BC501" s="2">
        <f t="shared" si="395"/>
        <v>0</v>
      </c>
      <c r="BD501" s="2">
        <f t="shared" si="395"/>
        <v>0</v>
      </c>
      <c r="BE501" s="2">
        <f t="shared" si="395"/>
        <v>0</v>
      </c>
      <c r="BF501" s="2">
        <f t="shared" si="395"/>
        <v>0</v>
      </c>
      <c r="BG501" s="2">
        <f t="shared" si="395"/>
        <v>0</v>
      </c>
      <c r="BH501" s="2">
        <f t="shared" si="395"/>
        <v>0</v>
      </c>
      <c r="BI501" s="2">
        <f t="shared" si="395"/>
        <v>0</v>
      </c>
      <c r="BJ501" s="2">
        <f t="shared" si="395"/>
        <v>0</v>
      </c>
      <c r="BK501" s="2">
        <f t="shared" si="395"/>
        <v>0</v>
      </c>
      <c r="BL501" s="2">
        <f t="shared" si="395"/>
        <v>0</v>
      </c>
      <c r="BM501" s="2">
        <f t="shared" si="395"/>
        <v>0</v>
      </c>
      <c r="BN501" s="2">
        <f t="shared" si="395"/>
        <v>0</v>
      </c>
      <c r="BO501" s="2">
        <f t="shared" si="395"/>
        <v>0</v>
      </c>
      <c r="BP501" s="2">
        <f t="shared" si="395"/>
        <v>0</v>
      </c>
      <c r="BQ501" s="2">
        <f t="shared" si="395"/>
        <v>0</v>
      </c>
      <c r="BR501" s="2">
        <f t="shared" si="395"/>
        <v>0</v>
      </c>
      <c r="BS501" s="2">
        <f t="shared" si="395"/>
        <v>0</v>
      </c>
      <c r="BT501" s="2">
        <f t="shared" si="395"/>
        <v>0</v>
      </c>
      <c r="BU501" s="2">
        <f t="shared" si="395"/>
        <v>0</v>
      </c>
      <c r="BV501" s="2">
        <f t="shared" si="395"/>
        <v>0</v>
      </c>
      <c r="BW501" s="2">
        <f t="shared" si="395"/>
        <v>0</v>
      </c>
      <c r="BX501" s="2">
        <f t="shared" si="395"/>
        <v>0</v>
      </c>
      <c r="BY501" s="2">
        <f t="shared" si="395"/>
        <v>0</v>
      </c>
      <c r="BZ501" s="2">
        <f t="shared" si="395"/>
        <v>0</v>
      </c>
      <c r="CA501" s="2">
        <f t="shared" ref="CA501:DF501" si="396">CA529</f>
        <v>37578.080000000002</v>
      </c>
      <c r="CB501" s="2">
        <f t="shared" si="396"/>
        <v>0</v>
      </c>
      <c r="CC501" s="2">
        <f t="shared" si="396"/>
        <v>0</v>
      </c>
      <c r="CD501" s="2">
        <f t="shared" si="396"/>
        <v>37578.080000000002</v>
      </c>
      <c r="CE501" s="2">
        <f t="shared" si="396"/>
        <v>236.75</v>
      </c>
      <c r="CF501" s="2">
        <f t="shared" si="396"/>
        <v>236.75</v>
      </c>
      <c r="CG501" s="2">
        <f t="shared" si="396"/>
        <v>0</v>
      </c>
      <c r="CH501" s="2">
        <f t="shared" si="396"/>
        <v>236.75</v>
      </c>
      <c r="CI501" s="2">
        <f t="shared" si="396"/>
        <v>0</v>
      </c>
      <c r="CJ501" s="2">
        <f t="shared" si="396"/>
        <v>0</v>
      </c>
      <c r="CK501" s="2">
        <f t="shared" si="396"/>
        <v>0</v>
      </c>
      <c r="CL501" s="2">
        <f t="shared" si="396"/>
        <v>0</v>
      </c>
      <c r="CM501" s="2">
        <f t="shared" si="396"/>
        <v>0</v>
      </c>
      <c r="CN501" s="2">
        <f t="shared" si="396"/>
        <v>0</v>
      </c>
      <c r="CO501" s="2">
        <f t="shared" si="396"/>
        <v>0</v>
      </c>
      <c r="CP501" s="2">
        <f t="shared" si="396"/>
        <v>0</v>
      </c>
      <c r="CQ501" s="2">
        <f t="shared" si="396"/>
        <v>0</v>
      </c>
      <c r="CR501" s="2">
        <f t="shared" si="396"/>
        <v>0</v>
      </c>
      <c r="CS501" s="2">
        <f t="shared" si="396"/>
        <v>0</v>
      </c>
      <c r="CT501" s="2">
        <f t="shared" si="396"/>
        <v>0</v>
      </c>
      <c r="CU501" s="2">
        <f t="shared" si="396"/>
        <v>0</v>
      </c>
      <c r="CV501" s="2">
        <f t="shared" si="396"/>
        <v>0</v>
      </c>
      <c r="CW501" s="2">
        <f t="shared" si="396"/>
        <v>0</v>
      </c>
      <c r="CX501" s="2">
        <f t="shared" si="396"/>
        <v>0</v>
      </c>
      <c r="CY501" s="2">
        <f t="shared" si="396"/>
        <v>0</v>
      </c>
      <c r="CZ501" s="2">
        <f t="shared" si="396"/>
        <v>0</v>
      </c>
      <c r="DA501" s="2">
        <f t="shared" si="396"/>
        <v>0</v>
      </c>
      <c r="DB501" s="2">
        <f t="shared" si="396"/>
        <v>0</v>
      </c>
      <c r="DC501" s="2">
        <f t="shared" si="396"/>
        <v>0</v>
      </c>
      <c r="DD501" s="2">
        <f t="shared" si="396"/>
        <v>0</v>
      </c>
      <c r="DE501" s="2">
        <f t="shared" si="396"/>
        <v>0</v>
      </c>
      <c r="DF501" s="2">
        <f t="shared" si="396"/>
        <v>0</v>
      </c>
      <c r="DG501" s="3">
        <f t="shared" ref="DG501:EL501" si="397">DG529</f>
        <v>0</v>
      </c>
      <c r="DH501" s="3">
        <f t="shared" si="397"/>
        <v>0</v>
      </c>
      <c r="DI501" s="3">
        <f t="shared" si="397"/>
        <v>0</v>
      </c>
      <c r="DJ501" s="3">
        <f t="shared" si="397"/>
        <v>0</v>
      </c>
      <c r="DK501" s="3">
        <f t="shared" si="397"/>
        <v>0</v>
      </c>
      <c r="DL501" s="3">
        <f t="shared" si="397"/>
        <v>0</v>
      </c>
      <c r="DM501" s="3">
        <f t="shared" si="397"/>
        <v>0</v>
      </c>
      <c r="DN501" s="3">
        <f t="shared" si="397"/>
        <v>0</v>
      </c>
      <c r="DO501" s="3">
        <f t="shared" si="397"/>
        <v>0</v>
      </c>
      <c r="DP501" s="3">
        <f t="shared" si="397"/>
        <v>0</v>
      </c>
      <c r="DQ501" s="3">
        <f t="shared" si="397"/>
        <v>0</v>
      </c>
      <c r="DR501" s="3">
        <f t="shared" si="397"/>
        <v>0</v>
      </c>
      <c r="DS501" s="3">
        <f t="shared" si="397"/>
        <v>0</v>
      </c>
      <c r="DT501" s="3">
        <f t="shared" si="397"/>
        <v>0</v>
      </c>
      <c r="DU501" s="3">
        <f t="shared" si="397"/>
        <v>0</v>
      </c>
      <c r="DV501" s="3">
        <f t="shared" si="397"/>
        <v>0</v>
      </c>
      <c r="DW501" s="3">
        <f t="shared" si="397"/>
        <v>0</v>
      </c>
      <c r="DX501" s="3">
        <f t="shared" si="397"/>
        <v>0</v>
      </c>
      <c r="DY501" s="3">
        <f t="shared" si="397"/>
        <v>0</v>
      </c>
      <c r="DZ501" s="3">
        <f t="shared" si="397"/>
        <v>0</v>
      </c>
      <c r="EA501" s="3">
        <f t="shared" si="397"/>
        <v>0</v>
      </c>
      <c r="EB501" s="3">
        <f t="shared" si="397"/>
        <v>0</v>
      </c>
      <c r="EC501" s="3">
        <f t="shared" si="397"/>
        <v>0</v>
      </c>
      <c r="ED501" s="3">
        <f t="shared" si="397"/>
        <v>0</v>
      </c>
      <c r="EE501" s="3">
        <f t="shared" si="397"/>
        <v>0</v>
      </c>
      <c r="EF501" s="3">
        <f t="shared" si="397"/>
        <v>0</v>
      </c>
      <c r="EG501" s="3">
        <f t="shared" si="397"/>
        <v>0</v>
      </c>
      <c r="EH501" s="3">
        <f t="shared" si="397"/>
        <v>0</v>
      </c>
      <c r="EI501" s="3">
        <f t="shared" si="397"/>
        <v>0</v>
      </c>
      <c r="EJ501" s="3">
        <f t="shared" si="397"/>
        <v>0</v>
      </c>
      <c r="EK501" s="3">
        <f t="shared" si="397"/>
        <v>0</v>
      </c>
      <c r="EL501" s="3">
        <f t="shared" si="397"/>
        <v>0</v>
      </c>
      <c r="EM501" s="3">
        <f t="shared" ref="EM501:FR501" si="398">EM529</f>
        <v>0</v>
      </c>
      <c r="EN501" s="3">
        <f t="shared" si="398"/>
        <v>0</v>
      </c>
      <c r="EO501" s="3">
        <f t="shared" si="398"/>
        <v>0</v>
      </c>
      <c r="EP501" s="3">
        <f t="shared" si="398"/>
        <v>0</v>
      </c>
      <c r="EQ501" s="3">
        <f t="shared" si="398"/>
        <v>0</v>
      </c>
      <c r="ER501" s="3">
        <f t="shared" si="398"/>
        <v>0</v>
      </c>
      <c r="ES501" s="3">
        <f t="shared" si="398"/>
        <v>0</v>
      </c>
      <c r="ET501" s="3">
        <f t="shared" si="398"/>
        <v>0</v>
      </c>
      <c r="EU501" s="3">
        <f t="shared" si="398"/>
        <v>0</v>
      </c>
      <c r="EV501" s="3">
        <f t="shared" si="398"/>
        <v>0</v>
      </c>
      <c r="EW501" s="3">
        <f t="shared" si="398"/>
        <v>0</v>
      </c>
      <c r="EX501" s="3">
        <f t="shared" si="398"/>
        <v>0</v>
      </c>
      <c r="EY501" s="3">
        <f t="shared" si="398"/>
        <v>0</v>
      </c>
      <c r="EZ501" s="3">
        <f t="shared" si="398"/>
        <v>0</v>
      </c>
      <c r="FA501" s="3">
        <f t="shared" si="398"/>
        <v>0</v>
      </c>
      <c r="FB501" s="3">
        <f t="shared" si="398"/>
        <v>0</v>
      </c>
      <c r="FC501" s="3">
        <f t="shared" si="398"/>
        <v>0</v>
      </c>
      <c r="FD501" s="3">
        <f t="shared" si="398"/>
        <v>0</v>
      </c>
      <c r="FE501" s="3">
        <f t="shared" si="398"/>
        <v>0</v>
      </c>
      <c r="FF501" s="3">
        <f t="shared" si="398"/>
        <v>0</v>
      </c>
      <c r="FG501" s="3">
        <f t="shared" si="398"/>
        <v>0</v>
      </c>
      <c r="FH501" s="3">
        <f t="shared" si="398"/>
        <v>0</v>
      </c>
      <c r="FI501" s="3">
        <f t="shared" si="398"/>
        <v>0</v>
      </c>
      <c r="FJ501" s="3">
        <f t="shared" si="398"/>
        <v>0</v>
      </c>
      <c r="FK501" s="3">
        <f t="shared" si="398"/>
        <v>0</v>
      </c>
      <c r="FL501" s="3">
        <f t="shared" si="398"/>
        <v>0</v>
      </c>
      <c r="FM501" s="3">
        <f t="shared" si="398"/>
        <v>0</v>
      </c>
      <c r="FN501" s="3">
        <f t="shared" si="398"/>
        <v>0</v>
      </c>
      <c r="FO501" s="3">
        <f t="shared" si="398"/>
        <v>0</v>
      </c>
      <c r="FP501" s="3">
        <f t="shared" si="398"/>
        <v>0</v>
      </c>
      <c r="FQ501" s="3">
        <f t="shared" si="398"/>
        <v>0</v>
      </c>
      <c r="FR501" s="3">
        <f t="shared" si="398"/>
        <v>0</v>
      </c>
      <c r="FS501" s="3">
        <f t="shared" ref="FS501:GX501" si="399">FS529</f>
        <v>0</v>
      </c>
      <c r="FT501" s="3">
        <f t="shared" si="399"/>
        <v>0</v>
      </c>
      <c r="FU501" s="3">
        <f t="shared" si="399"/>
        <v>0</v>
      </c>
      <c r="FV501" s="3">
        <f t="shared" si="399"/>
        <v>0</v>
      </c>
      <c r="FW501" s="3">
        <f t="shared" si="399"/>
        <v>0</v>
      </c>
      <c r="FX501" s="3">
        <f t="shared" si="399"/>
        <v>0</v>
      </c>
      <c r="FY501" s="3">
        <f t="shared" si="399"/>
        <v>0</v>
      </c>
      <c r="FZ501" s="3">
        <f t="shared" si="399"/>
        <v>0</v>
      </c>
      <c r="GA501" s="3">
        <f t="shared" si="399"/>
        <v>0</v>
      </c>
      <c r="GB501" s="3">
        <f t="shared" si="399"/>
        <v>0</v>
      </c>
      <c r="GC501" s="3">
        <f t="shared" si="399"/>
        <v>0</v>
      </c>
      <c r="GD501" s="3">
        <f t="shared" si="399"/>
        <v>0</v>
      </c>
      <c r="GE501" s="3">
        <f t="shared" si="399"/>
        <v>0</v>
      </c>
      <c r="GF501" s="3">
        <f t="shared" si="399"/>
        <v>0</v>
      </c>
      <c r="GG501" s="3">
        <f t="shared" si="399"/>
        <v>0</v>
      </c>
      <c r="GH501" s="3">
        <f t="shared" si="399"/>
        <v>0</v>
      </c>
      <c r="GI501" s="3">
        <f t="shared" si="399"/>
        <v>0</v>
      </c>
      <c r="GJ501" s="3">
        <f t="shared" si="399"/>
        <v>0</v>
      </c>
      <c r="GK501" s="3">
        <f t="shared" si="399"/>
        <v>0</v>
      </c>
      <c r="GL501" s="3">
        <f t="shared" si="399"/>
        <v>0</v>
      </c>
      <c r="GM501" s="3">
        <f t="shared" si="399"/>
        <v>0</v>
      </c>
      <c r="GN501" s="3">
        <f t="shared" si="399"/>
        <v>0</v>
      </c>
      <c r="GO501" s="3">
        <f t="shared" si="399"/>
        <v>0</v>
      </c>
      <c r="GP501" s="3">
        <f t="shared" si="399"/>
        <v>0</v>
      </c>
      <c r="GQ501" s="3">
        <f t="shared" si="399"/>
        <v>0</v>
      </c>
      <c r="GR501" s="3">
        <f t="shared" si="399"/>
        <v>0</v>
      </c>
      <c r="GS501" s="3">
        <f t="shared" si="399"/>
        <v>0</v>
      </c>
      <c r="GT501" s="3">
        <f t="shared" si="399"/>
        <v>0</v>
      </c>
      <c r="GU501" s="3">
        <f t="shared" si="399"/>
        <v>0</v>
      </c>
      <c r="GV501" s="3">
        <f t="shared" si="399"/>
        <v>0</v>
      </c>
      <c r="GW501" s="3">
        <f t="shared" si="399"/>
        <v>0</v>
      </c>
      <c r="GX501" s="3">
        <f t="shared" si="399"/>
        <v>0</v>
      </c>
    </row>
    <row r="503" spans="1:245" x14ac:dyDescent="0.2">
      <c r="A503">
        <v>17</v>
      </c>
      <c r="B503">
        <v>1</v>
      </c>
      <c r="D503">
        <f>ROW(EtalonRes!A282)</f>
        <v>282</v>
      </c>
      <c r="E503" t="s">
        <v>290</v>
      </c>
      <c r="F503" t="s">
        <v>169</v>
      </c>
      <c r="G503" t="s">
        <v>170</v>
      </c>
      <c r="H503" t="s">
        <v>39</v>
      </c>
      <c r="I503">
        <v>1</v>
      </c>
      <c r="J503">
        <v>0</v>
      </c>
      <c r="K503">
        <v>1</v>
      </c>
      <c r="O503">
        <f t="shared" ref="O503:O527" si="400">ROUND(CP503,2)</f>
        <v>15025.29</v>
      </c>
      <c r="P503">
        <f t="shared" ref="P503:P527" si="401">ROUND(CQ503*I503,2)</f>
        <v>205.53</v>
      </c>
      <c r="Q503">
        <f t="shared" ref="Q503:Q527" si="402">ROUND(CR503*I503,2)</f>
        <v>0</v>
      </c>
      <c r="R503">
        <f t="shared" ref="R503:R527" si="403">ROUND(CS503*I503,2)</f>
        <v>0</v>
      </c>
      <c r="S503">
        <f t="shared" ref="S503:S527" si="404">ROUND(CT503*I503,2)</f>
        <v>14819.76</v>
      </c>
      <c r="T503">
        <f t="shared" ref="T503:T527" si="405">ROUND(CU503*I503,2)</f>
        <v>0</v>
      </c>
      <c r="U503">
        <f t="shared" ref="U503:U527" si="406">CV503*I503</f>
        <v>24</v>
      </c>
      <c r="V503">
        <f t="shared" ref="V503:V527" si="407">CW503*I503</f>
        <v>0</v>
      </c>
      <c r="W503">
        <f t="shared" ref="W503:W527" si="408">ROUND(CX503*I503,2)</f>
        <v>0</v>
      </c>
      <c r="X503">
        <f t="shared" ref="X503:X527" si="409">ROUND(CY503,2)</f>
        <v>10373.83</v>
      </c>
      <c r="Y503">
        <f t="shared" ref="Y503:Y527" si="410">ROUND(CZ503,2)</f>
        <v>1481.98</v>
      </c>
      <c r="AA503">
        <v>1471531721</v>
      </c>
      <c r="AB503">
        <f t="shared" ref="AB503:AB527" si="411">ROUND((AC503+AD503+AF503),6)</f>
        <v>15025.29</v>
      </c>
      <c r="AC503">
        <f>ROUND((ES503),6)</f>
        <v>205.53</v>
      </c>
      <c r="AD503">
        <f>ROUND((((ET503)-(EU503))+AE503),6)</f>
        <v>0</v>
      </c>
      <c r="AE503">
        <f>ROUND((EU503),6)</f>
        <v>0</v>
      </c>
      <c r="AF503">
        <f>ROUND((EV503),6)</f>
        <v>14819.76</v>
      </c>
      <c r="AG503">
        <f t="shared" ref="AG503:AG527" si="412">ROUND((AP503),6)</f>
        <v>0</v>
      </c>
      <c r="AH503">
        <f>(EW503)</f>
        <v>24</v>
      </c>
      <c r="AI503">
        <f>(EX503)</f>
        <v>0</v>
      </c>
      <c r="AJ503">
        <f t="shared" ref="AJ503:AJ527" si="413">(AS503)</f>
        <v>0</v>
      </c>
      <c r="AK503">
        <v>15025.29</v>
      </c>
      <c r="AL503">
        <v>205.53</v>
      </c>
      <c r="AM503">
        <v>0</v>
      </c>
      <c r="AN503">
        <v>0</v>
      </c>
      <c r="AO503">
        <v>14819.76</v>
      </c>
      <c r="AP503">
        <v>0</v>
      </c>
      <c r="AQ503">
        <v>24</v>
      </c>
      <c r="AR503">
        <v>0</v>
      </c>
      <c r="AS503">
        <v>0</v>
      </c>
      <c r="AT503">
        <v>70</v>
      </c>
      <c r="AU503">
        <v>10</v>
      </c>
      <c r="AV503">
        <v>1</v>
      </c>
      <c r="AW503">
        <v>1</v>
      </c>
      <c r="AZ503">
        <v>1</v>
      </c>
      <c r="BA503">
        <v>1</v>
      </c>
      <c r="BB503">
        <v>1</v>
      </c>
      <c r="BC503">
        <v>1</v>
      </c>
      <c r="BD503" t="s">
        <v>3</v>
      </c>
      <c r="BE503" t="s">
        <v>3</v>
      </c>
      <c r="BF503" t="s">
        <v>3</v>
      </c>
      <c r="BG503" t="s">
        <v>3</v>
      </c>
      <c r="BH503">
        <v>0</v>
      </c>
      <c r="BI503">
        <v>4</v>
      </c>
      <c r="BJ503" t="s">
        <v>171</v>
      </c>
      <c r="BM503">
        <v>0</v>
      </c>
      <c r="BN503">
        <v>0</v>
      </c>
      <c r="BO503" t="s">
        <v>3</v>
      </c>
      <c r="BP503">
        <v>0</v>
      </c>
      <c r="BQ503">
        <v>1</v>
      </c>
      <c r="BR503">
        <v>0</v>
      </c>
      <c r="BS503">
        <v>1</v>
      </c>
      <c r="BT503">
        <v>1</v>
      </c>
      <c r="BU503">
        <v>1</v>
      </c>
      <c r="BV503">
        <v>1</v>
      </c>
      <c r="BW503">
        <v>1</v>
      </c>
      <c r="BX503">
        <v>1</v>
      </c>
      <c r="BY503" t="s">
        <v>3</v>
      </c>
      <c r="BZ503">
        <v>70</v>
      </c>
      <c r="CA503">
        <v>10</v>
      </c>
      <c r="CB503" t="s">
        <v>3</v>
      </c>
      <c r="CE503">
        <v>0</v>
      </c>
      <c r="CF503">
        <v>0</v>
      </c>
      <c r="CG503">
        <v>0</v>
      </c>
      <c r="CM503">
        <v>0</v>
      </c>
      <c r="CN503" t="s">
        <v>3</v>
      </c>
      <c r="CO503">
        <v>0</v>
      </c>
      <c r="CP503">
        <f t="shared" ref="CP503:CP527" si="414">(P503+Q503+S503)</f>
        <v>15025.29</v>
      </c>
      <c r="CQ503">
        <f t="shared" ref="CQ503:CQ527" si="415">(AC503*BC503*AW503)</f>
        <v>205.53</v>
      </c>
      <c r="CR503">
        <f>((((ET503)*BB503-(EU503)*BS503)+AE503*BS503)*AV503)</f>
        <v>0</v>
      </c>
      <c r="CS503">
        <f t="shared" ref="CS503:CS527" si="416">(AE503*BS503*AV503)</f>
        <v>0</v>
      </c>
      <c r="CT503">
        <f t="shared" ref="CT503:CT527" si="417">(AF503*BA503*AV503)</f>
        <v>14819.76</v>
      </c>
      <c r="CU503">
        <f t="shared" ref="CU503:CU527" si="418">AG503</f>
        <v>0</v>
      </c>
      <c r="CV503">
        <f t="shared" ref="CV503:CV527" si="419">(AH503*AV503)</f>
        <v>24</v>
      </c>
      <c r="CW503">
        <f t="shared" ref="CW503:CW527" si="420">AI503</f>
        <v>0</v>
      </c>
      <c r="CX503">
        <f t="shared" ref="CX503:CX527" si="421">AJ503</f>
        <v>0</v>
      </c>
      <c r="CY503">
        <f t="shared" ref="CY503:CY527" si="422">((S503*BZ503)/100)</f>
        <v>10373.832</v>
      </c>
      <c r="CZ503">
        <f t="shared" ref="CZ503:CZ527" si="423">((S503*CA503)/100)</f>
        <v>1481.9760000000001</v>
      </c>
      <c r="DC503" t="s">
        <v>3</v>
      </c>
      <c r="DD503" t="s">
        <v>3</v>
      </c>
      <c r="DE503" t="s">
        <v>3</v>
      </c>
      <c r="DF503" t="s">
        <v>3</v>
      </c>
      <c r="DG503" t="s">
        <v>3</v>
      </c>
      <c r="DH503" t="s">
        <v>3</v>
      </c>
      <c r="DI503" t="s">
        <v>3</v>
      </c>
      <c r="DJ503" t="s">
        <v>3</v>
      </c>
      <c r="DK503" t="s">
        <v>3</v>
      </c>
      <c r="DL503" t="s">
        <v>3</v>
      </c>
      <c r="DM503" t="s">
        <v>3</v>
      </c>
      <c r="DN503">
        <v>0</v>
      </c>
      <c r="DO503">
        <v>0</v>
      </c>
      <c r="DP503">
        <v>1</v>
      </c>
      <c r="DQ503">
        <v>1</v>
      </c>
      <c r="DU503">
        <v>16987630</v>
      </c>
      <c r="DV503" t="s">
        <v>39</v>
      </c>
      <c r="DW503" t="s">
        <v>39</v>
      </c>
      <c r="DX503">
        <v>1</v>
      </c>
      <c r="DZ503" t="s">
        <v>3</v>
      </c>
      <c r="EA503" t="s">
        <v>3</v>
      </c>
      <c r="EB503" t="s">
        <v>3</v>
      </c>
      <c r="EC503" t="s">
        <v>3</v>
      </c>
      <c r="EE503">
        <v>1441815344</v>
      </c>
      <c r="EF503">
        <v>1</v>
      </c>
      <c r="EG503" t="s">
        <v>21</v>
      </c>
      <c r="EH503">
        <v>0</v>
      </c>
      <c r="EI503" t="s">
        <v>3</v>
      </c>
      <c r="EJ503">
        <v>4</v>
      </c>
      <c r="EK503">
        <v>0</v>
      </c>
      <c r="EL503" t="s">
        <v>22</v>
      </c>
      <c r="EM503" t="s">
        <v>23</v>
      </c>
      <c r="EO503" t="s">
        <v>3</v>
      </c>
      <c r="EQ503">
        <v>0</v>
      </c>
      <c r="ER503">
        <v>15025.29</v>
      </c>
      <c r="ES503">
        <v>205.53</v>
      </c>
      <c r="ET503">
        <v>0</v>
      </c>
      <c r="EU503">
        <v>0</v>
      </c>
      <c r="EV503">
        <v>14819.76</v>
      </c>
      <c r="EW503">
        <v>24</v>
      </c>
      <c r="EX503">
        <v>0</v>
      </c>
      <c r="EY503">
        <v>0</v>
      </c>
      <c r="FQ503">
        <v>0</v>
      </c>
      <c r="FR503">
        <f t="shared" ref="FR503:FR527" si="424">ROUND(IF(BI503=3,GM503,0),2)</f>
        <v>0</v>
      </c>
      <c r="FS503">
        <v>0</v>
      </c>
      <c r="FX503">
        <v>70</v>
      </c>
      <c r="FY503">
        <v>10</v>
      </c>
      <c r="GA503" t="s">
        <v>3</v>
      </c>
      <c r="GD503">
        <v>0</v>
      </c>
      <c r="GF503">
        <v>1432440124</v>
      </c>
      <c r="GG503">
        <v>2</v>
      </c>
      <c r="GH503">
        <v>1</v>
      </c>
      <c r="GI503">
        <v>-2</v>
      </c>
      <c r="GJ503">
        <v>0</v>
      </c>
      <c r="GK503">
        <f>ROUND(R503*(R12)/100,2)</f>
        <v>0</v>
      </c>
      <c r="GL503">
        <f t="shared" ref="GL503:GL527" si="425">ROUND(IF(AND(BH503=3,BI503=3,FS503&lt;&gt;0),P503,0),2)</f>
        <v>0</v>
      </c>
      <c r="GM503">
        <f t="shared" ref="GM503:GM527" si="426">ROUND(O503+X503+Y503+GK503,2)+GX503</f>
        <v>26881.1</v>
      </c>
      <c r="GN503">
        <f t="shared" ref="GN503:GN527" si="427">IF(OR(BI503=0,BI503=1),GM503-GX503,0)</f>
        <v>0</v>
      </c>
      <c r="GO503">
        <f t="shared" ref="GO503:GO527" si="428">IF(BI503=2,GM503-GX503,0)</f>
        <v>0</v>
      </c>
      <c r="GP503">
        <f t="shared" ref="GP503:GP527" si="429">IF(BI503=4,GM503-GX503,0)</f>
        <v>26881.1</v>
      </c>
      <c r="GR503">
        <v>0</v>
      </c>
      <c r="GS503">
        <v>3</v>
      </c>
      <c r="GT503">
        <v>0</v>
      </c>
      <c r="GU503" t="s">
        <v>3</v>
      </c>
      <c r="GV503">
        <f t="shared" ref="GV503:GV527" si="430">ROUND((GT503),6)</f>
        <v>0</v>
      </c>
      <c r="GW503">
        <v>1</v>
      </c>
      <c r="GX503">
        <f t="shared" ref="GX503:GX527" si="431">ROUND(HC503*I503,2)</f>
        <v>0</v>
      </c>
      <c r="HA503">
        <v>0</v>
      </c>
      <c r="HB503">
        <v>0</v>
      </c>
      <c r="HC503">
        <f t="shared" ref="HC503:HC527" si="432">GV503*GW503</f>
        <v>0</v>
      </c>
      <c r="HE503" t="s">
        <v>3</v>
      </c>
      <c r="HF503" t="s">
        <v>3</v>
      </c>
      <c r="HM503" t="s">
        <v>3</v>
      </c>
      <c r="HN503" t="s">
        <v>3</v>
      </c>
      <c r="HO503" t="s">
        <v>3</v>
      </c>
      <c r="HP503" t="s">
        <v>3</v>
      </c>
      <c r="HQ503" t="s">
        <v>3</v>
      </c>
      <c r="IK503">
        <v>0</v>
      </c>
    </row>
    <row r="504" spans="1:245" x14ac:dyDescent="0.2">
      <c r="A504">
        <v>17</v>
      </c>
      <c r="B504">
        <v>1</v>
      </c>
      <c r="D504">
        <f>ROW(EtalonRes!A284)</f>
        <v>284</v>
      </c>
      <c r="E504" t="s">
        <v>3</v>
      </c>
      <c r="F504" t="s">
        <v>172</v>
      </c>
      <c r="G504" t="s">
        <v>173</v>
      </c>
      <c r="H504" t="s">
        <v>39</v>
      </c>
      <c r="I504">
        <v>1</v>
      </c>
      <c r="J504">
        <v>0</v>
      </c>
      <c r="K504">
        <v>1</v>
      </c>
      <c r="O504">
        <f t="shared" si="400"/>
        <v>1484.19</v>
      </c>
      <c r="P504">
        <f t="shared" si="401"/>
        <v>2.2200000000000002</v>
      </c>
      <c r="Q504">
        <f t="shared" si="402"/>
        <v>0</v>
      </c>
      <c r="R504">
        <f t="shared" si="403"/>
        <v>0</v>
      </c>
      <c r="S504">
        <f t="shared" si="404"/>
        <v>1481.97</v>
      </c>
      <c r="T504">
        <f t="shared" si="405"/>
        <v>0</v>
      </c>
      <c r="U504">
        <f t="shared" si="406"/>
        <v>2.4000000000000004</v>
      </c>
      <c r="V504">
        <f t="shared" si="407"/>
        <v>0</v>
      </c>
      <c r="W504">
        <f t="shared" si="408"/>
        <v>0</v>
      </c>
      <c r="X504">
        <f t="shared" si="409"/>
        <v>1037.3800000000001</v>
      </c>
      <c r="Y504">
        <f t="shared" si="410"/>
        <v>148.19999999999999</v>
      </c>
      <c r="AA504">
        <v>-1</v>
      </c>
      <c r="AB504">
        <f t="shared" si="411"/>
        <v>1484.19</v>
      </c>
      <c r="AC504">
        <f>ROUND(((ES504*3)),6)</f>
        <v>2.2200000000000002</v>
      </c>
      <c r="AD504">
        <f>ROUND(((((ET504*3))-((EU504*3)))+AE504),6)</f>
        <v>0</v>
      </c>
      <c r="AE504">
        <f>ROUND(((EU504*3)),6)</f>
        <v>0</v>
      </c>
      <c r="AF504">
        <f>ROUND(((EV504*3)),6)</f>
        <v>1481.97</v>
      </c>
      <c r="AG504">
        <f t="shared" si="412"/>
        <v>0</v>
      </c>
      <c r="AH504">
        <f>((EW504*3))</f>
        <v>2.4000000000000004</v>
      </c>
      <c r="AI504">
        <f>((EX504*3))</f>
        <v>0</v>
      </c>
      <c r="AJ504">
        <f t="shared" si="413"/>
        <v>0</v>
      </c>
      <c r="AK504">
        <v>494.73</v>
      </c>
      <c r="AL504">
        <v>0.74</v>
      </c>
      <c r="AM504">
        <v>0</v>
      </c>
      <c r="AN504">
        <v>0</v>
      </c>
      <c r="AO504">
        <v>493.99</v>
      </c>
      <c r="AP504">
        <v>0</v>
      </c>
      <c r="AQ504">
        <v>0.8</v>
      </c>
      <c r="AR504">
        <v>0</v>
      </c>
      <c r="AS504">
        <v>0</v>
      </c>
      <c r="AT504">
        <v>70</v>
      </c>
      <c r="AU504">
        <v>10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1</v>
      </c>
      <c r="BD504" t="s">
        <v>3</v>
      </c>
      <c r="BE504" t="s">
        <v>3</v>
      </c>
      <c r="BF504" t="s">
        <v>3</v>
      </c>
      <c r="BG504" t="s">
        <v>3</v>
      </c>
      <c r="BH504">
        <v>0</v>
      </c>
      <c r="BI504">
        <v>4</v>
      </c>
      <c r="BJ504" t="s">
        <v>174</v>
      </c>
      <c r="BM504">
        <v>0</v>
      </c>
      <c r="BN504">
        <v>0</v>
      </c>
      <c r="BO504" t="s">
        <v>3</v>
      </c>
      <c r="BP504">
        <v>0</v>
      </c>
      <c r="BQ504">
        <v>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70</v>
      </c>
      <c r="CA504">
        <v>10</v>
      </c>
      <c r="CB504" t="s">
        <v>3</v>
      </c>
      <c r="CE504">
        <v>0</v>
      </c>
      <c r="CF504">
        <v>0</v>
      </c>
      <c r="CG504">
        <v>0</v>
      </c>
      <c r="CM504">
        <v>0</v>
      </c>
      <c r="CN504" t="s">
        <v>3</v>
      </c>
      <c r="CO504">
        <v>0</v>
      </c>
      <c r="CP504">
        <f t="shared" si="414"/>
        <v>1484.19</v>
      </c>
      <c r="CQ504">
        <f t="shared" si="415"/>
        <v>2.2200000000000002</v>
      </c>
      <c r="CR504">
        <f>(((((ET504*3))*BB504-((EU504*3))*BS504)+AE504*BS504)*AV504)</f>
        <v>0</v>
      </c>
      <c r="CS504">
        <f t="shared" si="416"/>
        <v>0</v>
      </c>
      <c r="CT504">
        <f t="shared" si="417"/>
        <v>1481.97</v>
      </c>
      <c r="CU504">
        <f t="shared" si="418"/>
        <v>0</v>
      </c>
      <c r="CV504">
        <f t="shared" si="419"/>
        <v>2.4000000000000004</v>
      </c>
      <c r="CW504">
        <f t="shared" si="420"/>
        <v>0</v>
      </c>
      <c r="CX504">
        <f t="shared" si="421"/>
        <v>0</v>
      </c>
      <c r="CY504">
        <f t="shared" si="422"/>
        <v>1037.3790000000001</v>
      </c>
      <c r="CZ504">
        <f t="shared" si="423"/>
        <v>148.197</v>
      </c>
      <c r="DC504" t="s">
        <v>3</v>
      </c>
      <c r="DD504" t="s">
        <v>156</v>
      </c>
      <c r="DE504" t="s">
        <v>156</v>
      </c>
      <c r="DF504" t="s">
        <v>156</v>
      </c>
      <c r="DG504" t="s">
        <v>156</v>
      </c>
      <c r="DH504" t="s">
        <v>3</v>
      </c>
      <c r="DI504" t="s">
        <v>156</v>
      </c>
      <c r="DJ504" t="s">
        <v>156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16987630</v>
      </c>
      <c r="DV504" t="s">
        <v>39</v>
      </c>
      <c r="DW504" t="s">
        <v>39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1441815344</v>
      </c>
      <c r="EF504">
        <v>1</v>
      </c>
      <c r="EG504" t="s">
        <v>21</v>
      </c>
      <c r="EH504">
        <v>0</v>
      </c>
      <c r="EI504" t="s">
        <v>3</v>
      </c>
      <c r="EJ504">
        <v>4</v>
      </c>
      <c r="EK504">
        <v>0</v>
      </c>
      <c r="EL504" t="s">
        <v>22</v>
      </c>
      <c r="EM504" t="s">
        <v>23</v>
      </c>
      <c r="EO504" t="s">
        <v>3</v>
      </c>
      <c r="EQ504">
        <v>1024</v>
      </c>
      <c r="ER504">
        <v>494.73</v>
      </c>
      <c r="ES504">
        <v>0.74</v>
      </c>
      <c r="ET504">
        <v>0</v>
      </c>
      <c r="EU504">
        <v>0</v>
      </c>
      <c r="EV504">
        <v>493.99</v>
      </c>
      <c r="EW504">
        <v>0.8</v>
      </c>
      <c r="EX504">
        <v>0</v>
      </c>
      <c r="EY504">
        <v>0</v>
      </c>
      <c r="FQ504">
        <v>0</v>
      </c>
      <c r="FR504">
        <f t="shared" si="424"/>
        <v>0</v>
      </c>
      <c r="FS504">
        <v>0</v>
      </c>
      <c r="FX504">
        <v>70</v>
      </c>
      <c r="FY504">
        <v>10</v>
      </c>
      <c r="GA504" t="s">
        <v>3</v>
      </c>
      <c r="GD504">
        <v>0</v>
      </c>
      <c r="GF504">
        <v>292563352</v>
      </c>
      <c r="GG504">
        <v>2</v>
      </c>
      <c r="GH504">
        <v>1</v>
      </c>
      <c r="GI504">
        <v>-2</v>
      </c>
      <c r="GJ504">
        <v>0</v>
      </c>
      <c r="GK504">
        <f>ROUND(R504*(R12)/100,2)</f>
        <v>0</v>
      </c>
      <c r="GL504">
        <f t="shared" si="425"/>
        <v>0</v>
      </c>
      <c r="GM504">
        <f t="shared" si="426"/>
        <v>2669.77</v>
      </c>
      <c r="GN504">
        <f t="shared" si="427"/>
        <v>0</v>
      </c>
      <c r="GO504">
        <f t="shared" si="428"/>
        <v>0</v>
      </c>
      <c r="GP504">
        <f t="shared" si="429"/>
        <v>2669.77</v>
      </c>
      <c r="GR504">
        <v>0</v>
      </c>
      <c r="GS504">
        <v>3</v>
      </c>
      <c r="GT504">
        <v>0</v>
      </c>
      <c r="GU504" t="s">
        <v>3</v>
      </c>
      <c r="GV504">
        <f t="shared" si="430"/>
        <v>0</v>
      </c>
      <c r="GW504">
        <v>1</v>
      </c>
      <c r="GX504">
        <f t="shared" si="431"/>
        <v>0</v>
      </c>
      <c r="HA504">
        <v>0</v>
      </c>
      <c r="HB504">
        <v>0</v>
      </c>
      <c r="HC504">
        <f t="shared" si="432"/>
        <v>0</v>
      </c>
      <c r="HE504" t="s">
        <v>3</v>
      </c>
      <c r="HF504" t="s">
        <v>3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45" x14ac:dyDescent="0.2">
      <c r="A505">
        <v>17</v>
      </c>
      <c r="B505">
        <v>1</v>
      </c>
      <c r="D505">
        <f>ROW(EtalonRes!A286)</f>
        <v>286</v>
      </c>
      <c r="E505" t="s">
        <v>3</v>
      </c>
      <c r="F505" t="s">
        <v>175</v>
      </c>
      <c r="G505" t="s">
        <v>176</v>
      </c>
      <c r="H505" t="s">
        <v>39</v>
      </c>
      <c r="I505">
        <v>3</v>
      </c>
      <c r="J505">
        <v>0</v>
      </c>
      <c r="K505">
        <v>3</v>
      </c>
      <c r="O505">
        <f t="shared" si="400"/>
        <v>3386.01</v>
      </c>
      <c r="P505">
        <f t="shared" si="401"/>
        <v>0.93</v>
      </c>
      <c r="Q505">
        <f t="shared" si="402"/>
        <v>0</v>
      </c>
      <c r="R505">
        <f t="shared" si="403"/>
        <v>0</v>
      </c>
      <c r="S505">
        <f t="shared" si="404"/>
        <v>3385.08</v>
      </c>
      <c r="T505">
        <f t="shared" si="405"/>
        <v>0</v>
      </c>
      <c r="U505">
        <f t="shared" si="406"/>
        <v>4.7700000000000005</v>
      </c>
      <c r="V505">
        <f t="shared" si="407"/>
        <v>0</v>
      </c>
      <c r="W505">
        <f t="shared" si="408"/>
        <v>0</v>
      </c>
      <c r="X505">
        <f t="shared" si="409"/>
        <v>2369.56</v>
      </c>
      <c r="Y505">
        <f t="shared" si="410"/>
        <v>338.51</v>
      </c>
      <c r="AA505">
        <v>-1</v>
      </c>
      <c r="AB505">
        <f t="shared" si="411"/>
        <v>1128.67</v>
      </c>
      <c r="AC505">
        <f>ROUND((ES505),6)</f>
        <v>0.31</v>
      </c>
      <c r="AD505">
        <f>ROUND((((ET505)-(EU505))+AE505),6)</f>
        <v>0</v>
      </c>
      <c r="AE505">
        <f>ROUND((EU505),6)</f>
        <v>0</v>
      </c>
      <c r="AF505">
        <f>ROUND((EV505),6)</f>
        <v>1128.3599999999999</v>
      </c>
      <c r="AG505">
        <f t="shared" si="412"/>
        <v>0</v>
      </c>
      <c r="AH505">
        <f>(EW505)</f>
        <v>1.59</v>
      </c>
      <c r="AI505">
        <f>(EX505)</f>
        <v>0</v>
      </c>
      <c r="AJ505">
        <f t="shared" si="413"/>
        <v>0</v>
      </c>
      <c r="AK505">
        <v>1128.67</v>
      </c>
      <c r="AL505">
        <v>0.31</v>
      </c>
      <c r="AM505">
        <v>0</v>
      </c>
      <c r="AN505">
        <v>0</v>
      </c>
      <c r="AO505">
        <v>1128.3599999999999</v>
      </c>
      <c r="AP505">
        <v>0</v>
      </c>
      <c r="AQ505">
        <v>1.59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177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si="414"/>
        <v>3386.0099999999998</v>
      </c>
      <c r="CQ505">
        <f t="shared" si="415"/>
        <v>0.31</v>
      </c>
      <c r="CR505">
        <f>((((ET505)*BB505-(EU505)*BS505)+AE505*BS505)*AV505)</f>
        <v>0</v>
      </c>
      <c r="CS505">
        <f t="shared" si="416"/>
        <v>0</v>
      </c>
      <c r="CT505">
        <f t="shared" si="417"/>
        <v>1128.3599999999999</v>
      </c>
      <c r="CU505">
        <f t="shared" si="418"/>
        <v>0</v>
      </c>
      <c r="CV505">
        <f t="shared" si="419"/>
        <v>1.59</v>
      </c>
      <c r="CW505">
        <f t="shared" si="420"/>
        <v>0</v>
      </c>
      <c r="CX505">
        <f t="shared" si="421"/>
        <v>0</v>
      </c>
      <c r="CY505">
        <f t="shared" si="422"/>
        <v>2369.556</v>
      </c>
      <c r="CZ505">
        <f t="shared" si="423"/>
        <v>338.50800000000004</v>
      </c>
      <c r="DC505" t="s">
        <v>3</v>
      </c>
      <c r="DD505" t="s">
        <v>3</v>
      </c>
      <c r="DE505" t="s">
        <v>3</v>
      </c>
      <c r="DF505" t="s">
        <v>3</v>
      </c>
      <c r="DG505" t="s">
        <v>3</v>
      </c>
      <c r="DH505" t="s">
        <v>3</v>
      </c>
      <c r="DI505" t="s">
        <v>3</v>
      </c>
      <c r="DJ505" t="s">
        <v>3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39</v>
      </c>
      <c r="DW505" t="s">
        <v>39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21</v>
      </c>
      <c r="EH505">
        <v>0</v>
      </c>
      <c r="EI505" t="s">
        <v>3</v>
      </c>
      <c r="EJ505">
        <v>4</v>
      </c>
      <c r="EK505">
        <v>0</v>
      </c>
      <c r="EL505" t="s">
        <v>22</v>
      </c>
      <c r="EM505" t="s">
        <v>23</v>
      </c>
      <c r="EO505" t="s">
        <v>3</v>
      </c>
      <c r="EQ505">
        <v>1836032</v>
      </c>
      <c r="ER505">
        <v>1128.67</v>
      </c>
      <c r="ES505">
        <v>0.31</v>
      </c>
      <c r="ET505">
        <v>0</v>
      </c>
      <c r="EU505">
        <v>0</v>
      </c>
      <c r="EV505">
        <v>1128.3599999999999</v>
      </c>
      <c r="EW505">
        <v>1.59</v>
      </c>
      <c r="EX505">
        <v>0</v>
      </c>
      <c r="EY505">
        <v>0</v>
      </c>
      <c r="FQ505">
        <v>0</v>
      </c>
      <c r="FR505">
        <f t="shared" si="424"/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2029808212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 t="shared" si="425"/>
        <v>0</v>
      </c>
      <c r="GM505">
        <f t="shared" si="426"/>
        <v>6094.08</v>
      </c>
      <c r="GN505">
        <f t="shared" si="427"/>
        <v>0</v>
      </c>
      <c r="GO505">
        <f t="shared" si="428"/>
        <v>0</v>
      </c>
      <c r="GP505">
        <f t="shared" si="429"/>
        <v>6094.08</v>
      </c>
      <c r="GR505">
        <v>0</v>
      </c>
      <c r="GS505">
        <v>3</v>
      </c>
      <c r="GT505">
        <v>0</v>
      </c>
      <c r="GU505" t="s">
        <v>3</v>
      </c>
      <c r="GV505">
        <f t="shared" si="430"/>
        <v>0</v>
      </c>
      <c r="GW505">
        <v>1</v>
      </c>
      <c r="GX505">
        <f t="shared" si="431"/>
        <v>0</v>
      </c>
      <c r="HA505">
        <v>0</v>
      </c>
      <c r="HB505">
        <v>0</v>
      </c>
      <c r="HC505">
        <f t="shared" si="432"/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D506">
        <f>ROW(EtalonRes!A289)</f>
        <v>289</v>
      </c>
      <c r="E506" t="s">
        <v>291</v>
      </c>
      <c r="F506" t="s">
        <v>179</v>
      </c>
      <c r="G506" t="s">
        <v>180</v>
      </c>
      <c r="H506" t="s">
        <v>39</v>
      </c>
      <c r="I506">
        <f>ROUND(2*1,9)</f>
        <v>2</v>
      </c>
      <c r="J506">
        <v>0</v>
      </c>
      <c r="K506">
        <f>ROUND(2*1,9)</f>
        <v>2</v>
      </c>
      <c r="O506">
        <f t="shared" si="400"/>
        <v>177.76</v>
      </c>
      <c r="P506">
        <f t="shared" si="401"/>
        <v>4.4000000000000004</v>
      </c>
      <c r="Q506">
        <f t="shared" si="402"/>
        <v>0.46</v>
      </c>
      <c r="R506">
        <f t="shared" si="403"/>
        <v>0</v>
      </c>
      <c r="S506">
        <f t="shared" si="404"/>
        <v>172.9</v>
      </c>
      <c r="T506">
        <f t="shared" si="405"/>
        <v>0</v>
      </c>
      <c r="U506">
        <f t="shared" si="406"/>
        <v>0.28000000000000003</v>
      </c>
      <c r="V506">
        <f t="shared" si="407"/>
        <v>0</v>
      </c>
      <c r="W506">
        <f t="shared" si="408"/>
        <v>0</v>
      </c>
      <c r="X506">
        <f t="shared" si="409"/>
        <v>121.03</v>
      </c>
      <c r="Y506">
        <f t="shared" si="410"/>
        <v>17.29</v>
      </c>
      <c r="AA506">
        <v>1471531721</v>
      </c>
      <c r="AB506">
        <f t="shared" si="411"/>
        <v>88.88</v>
      </c>
      <c r="AC506">
        <f>ROUND((ES506),6)</f>
        <v>2.2000000000000002</v>
      </c>
      <c r="AD506">
        <f>ROUND((((ET506)-(EU506))+AE506),6)</f>
        <v>0.23</v>
      </c>
      <c r="AE506">
        <f>ROUND((EU506),6)</f>
        <v>0</v>
      </c>
      <c r="AF506">
        <f>ROUND((EV506),6)</f>
        <v>86.45</v>
      </c>
      <c r="AG506">
        <f t="shared" si="412"/>
        <v>0</v>
      </c>
      <c r="AH506">
        <f>(EW506)</f>
        <v>0.14000000000000001</v>
      </c>
      <c r="AI506">
        <f>(EX506)</f>
        <v>0</v>
      </c>
      <c r="AJ506">
        <f t="shared" si="413"/>
        <v>0</v>
      </c>
      <c r="AK506">
        <v>88.88</v>
      </c>
      <c r="AL506">
        <v>2.2000000000000002</v>
      </c>
      <c r="AM506">
        <v>0.23</v>
      </c>
      <c r="AN506">
        <v>0</v>
      </c>
      <c r="AO506">
        <v>86.45</v>
      </c>
      <c r="AP506">
        <v>0</v>
      </c>
      <c r="AQ506">
        <v>0.14000000000000001</v>
      </c>
      <c r="AR506">
        <v>0</v>
      </c>
      <c r="AS506">
        <v>0</v>
      </c>
      <c r="AT506">
        <v>70</v>
      </c>
      <c r="AU506">
        <v>10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1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4</v>
      </c>
      <c r="BJ506" t="s">
        <v>181</v>
      </c>
      <c r="BM506">
        <v>0</v>
      </c>
      <c r="BN506">
        <v>0</v>
      </c>
      <c r="BO506" t="s">
        <v>3</v>
      </c>
      <c r="BP506">
        <v>0</v>
      </c>
      <c r="BQ506">
        <v>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70</v>
      </c>
      <c r="CA506">
        <v>10</v>
      </c>
      <c r="CB506" t="s">
        <v>3</v>
      </c>
      <c r="CE506">
        <v>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414"/>
        <v>177.76000000000002</v>
      </c>
      <c r="CQ506">
        <f t="shared" si="415"/>
        <v>2.2000000000000002</v>
      </c>
      <c r="CR506">
        <f>((((ET506)*BB506-(EU506)*BS506)+AE506*BS506)*AV506)</f>
        <v>0.23</v>
      </c>
      <c r="CS506">
        <f t="shared" si="416"/>
        <v>0</v>
      </c>
      <c r="CT506">
        <f t="shared" si="417"/>
        <v>86.45</v>
      </c>
      <c r="CU506">
        <f t="shared" si="418"/>
        <v>0</v>
      </c>
      <c r="CV506">
        <f t="shared" si="419"/>
        <v>0.14000000000000001</v>
      </c>
      <c r="CW506">
        <f t="shared" si="420"/>
        <v>0</v>
      </c>
      <c r="CX506">
        <f t="shared" si="421"/>
        <v>0</v>
      </c>
      <c r="CY506">
        <f t="shared" si="422"/>
        <v>121.03</v>
      </c>
      <c r="CZ506">
        <f t="shared" si="423"/>
        <v>17.29</v>
      </c>
      <c r="DC506" t="s">
        <v>3</v>
      </c>
      <c r="DD506" t="s">
        <v>3</v>
      </c>
      <c r="DE506" t="s">
        <v>3</v>
      </c>
      <c r="DF506" t="s">
        <v>3</v>
      </c>
      <c r="DG506" t="s">
        <v>3</v>
      </c>
      <c r="DH506" t="s">
        <v>3</v>
      </c>
      <c r="DI506" t="s">
        <v>3</v>
      </c>
      <c r="DJ506" t="s">
        <v>3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16987630</v>
      </c>
      <c r="DV506" t="s">
        <v>39</v>
      </c>
      <c r="DW506" t="s">
        <v>39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1441815344</v>
      </c>
      <c r="EF506">
        <v>1</v>
      </c>
      <c r="EG506" t="s">
        <v>21</v>
      </c>
      <c r="EH506">
        <v>0</v>
      </c>
      <c r="EI506" t="s">
        <v>3</v>
      </c>
      <c r="EJ506">
        <v>4</v>
      </c>
      <c r="EK506">
        <v>0</v>
      </c>
      <c r="EL506" t="s">
        <v>22</v>
      </c>
      <c r="EM506" t="s">
        <v>23</v>
      </c>
      <c r="EO506" t="s">
        <v>3</v>
      </c>
      <c r="EQ506">
        <v>0</v>
      </c>
      <c r="ER506">
        <v>88.88</v>
      </c>
      <c r="ES506">
        <v>2.2000000000000002</v>
      </c>
      <c r="ET506">
        <v>0.23</v>
      </c>
      <c r="EU506">
        <v>0</v>
      </c>
      <c r="EV506">
        <v>86.45</v>
      </c>
      <c r="EW506">
        <v>0.14000000000000001</v>
      </c>
      <c r="EX506">
        <v>0</v>
      </c>
      <c r="EY506">
        <v>0</v>
      </c>
      <c r="FQ506">
        <v>0</v>
      </c>
      <c r="FR506">
        <f t="shared" si="424"/>
        <v>0</v>
      </c>
      <c r="FS506">
        <v>0</v>
      </c>
      <c r="FX506">
        <v>70</v>
      </c>
      <c r="FY506">
        <v>10</v>
      </c>
      <c r="GA506" t="s">
        <v>3</v>
      </c>
      <c r="GD506">
        <v>0</v>
      </c>
      <c r="GF506">
        <v>-129403832</v>
      </c>
      <c r="GG506">
        <v>2</v>
      </c>
      <c r="GH506">
        <v>1</v>
      </c>
      <c r="GI506">
        <v>-2</v>
      </c>
      <c r="GJ506">
        <v>0</v>
      </c>
      <c r="GK506">
        <f>ROUND(R506*(R12)/100,2)</f>
        <v>0</v>
      </c>
      <c r="GL506">
        <f t="shared" si="425"/>
        <v>0</v>
      </c>
      <c r="GM506">
        <f t="shared" si="426"/>
        <v>316.08</v>
      </c>
      <c r="GN506">
        <f t="shared" si="427"/>
        <v>0</v>
      </c>
      <c r="GO506">
        <f t="shared" si="428"/>
        <v>0</v>
      </c>
      <c r="GP506">
        <f t="shared" si="429"/>
        <v>316.08</v>
      </c>
      <c r="GR506">
        <v>0</v>
      </c>
      <c r="GS506">
        <v>3</v>
      </c>
      <c r="GT506">
        <v>0</v>
      </c>
      <c r="GU506" t="s">
        <v>3</v>
      </c>
      <c r="GV506">
        <f t="shared" si="430"/>
        <v>0</v>
      </c>
      <c r="GW506">
        <v>1</v>
      </c>
      <c r="GX506">
        <f t="shared" si="431"/>
        <v>0</v>
      </c>
      <c r="HA506">
        <v>0</v>
      </c>
      <c r="HB506">
        <v>0</v>
      </c>
      <c r="HC506">
        <f t="shared" si="432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D507">
        <f>ROW(EtalonRes!A290)</f>
        <v>290</v>
      </c>
      <c r="E507" t="s">
        <v>3</v>
      </c>
      <c r="F507" t="s">
        <v>182</v>
      </c>
      <c r="G507" t="s">
        <v>183</v>
      </c>
      <c r="H507" t="s">
        <v>18</v>
      </c>
      <c r="I507">
        <f>ROUND(2*1/10,9)</f>
        <v>0.2</v>
      </c>
      <c r="J507">
        <v>0</v>
      </c>
      <c r="K507">
        <f>ROUND(2*1/10,9)</f>
        <v>0.2</v>
      </c>
      <c r="O507">
        <f t="shared" si="400"/>
        <v>124.69</v>
      </c>
      <c r="P507">
        <f t="shared" si="401"/>
        <v>0</v>
      </c>
      <c r="Q507">
        <f t="shared" si="402"/>
        <v>0</v>
      </c>
      <c r="R507">
        <f t="shared" si="403"/>
        <v>0</v>
      </c>
      <c r="S507">
        <f t="shared" si="404"/>
        <v>124.69</v>
      </c>
      <c r="T507">
        <f t="shared" si="405"/>
        <v>0</v>
      </c>
      <c r="U507">
        <f t="shared" si="406"/>
        <v>0.246</v>
      </c>
      <c r="V507">
        <f t="shared" si="407"/>
        <v>0</v>
      </c>
      <c r="W507">
        <f t="shared" si="408"/>
        <v>0</v>
      </c>
      <c r="X507">
        <f t="shared" si="409"/>
        <v>87.28</v>
      </c>
      <c r="Y507">
        <f t="shared" si="410"/>
        <v>12.47</v>
      </c>
      <c r="AA507">
        <v>-1</v>
      </c>
      <c r="AB507">
        <f t="shared" si="411"/>
        <v>623.42999999999995</v>
      </c>
      <c r="AC507">
        <f>ROUND(((ES507*3)),6)</f>
        <v>0</v>
      </c>
      <c r="AD507">
        <f>ROUND(((((ET507*3))-((EU507*3)))+AE507),6)</f>
        <v>0</v>
      </c>
      <c r="AE507">
        <f>ROUND(((EU507*3)),6)</f>
        <v>0</v>
      </c>
      <c r="AF507">
        <f>ROUND(((EV507*3)),6)</f>
        <v>623.42999999999995</v>
      </c>
      <c r="AG507">
        <f t="shared" si="412"/>
        <v>0</v>
      </c>
      <c r="AH507">
        <f>((EW507*3))</f>
        <v>1.23</v>
      </c>
      <c r="AI507">
        <f>((EX507*3))</f>
        <v>0</v>
      </c>
      <c r="AJ507">
        <f t="shared" si="413"/>
        <v>0</v>
      </c>
      <c r="AK507">
        <v>207.81</v>
      </c>
      <c r="AL507">
        <v>0</v>
      </c>
      <c r="AM507">
        <v>0</v>
      </c>
      <c r="AN507">
        <v>0</v>
      </c>
      <c r="AO507">
        <v>207.81</v>
      </c>
      <c r="AP507">
        <v>0</v>
      </c>
      <c r="AQ507">
        <v>0.41</v>
      </c>
      <c r="AR507">
        <v>0</v>
      </c>
      <c r="AS507">
        <v>0</v>
      </c>
      <c r="AT507">
        <v>70</v>
      </c>
      <c r="AU507">
        <v>10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1</v>
      </c>
      <c r="BD507" t="s">
        <v>3</v>
      </c>
      <c r="BE507" t="s">
        <v>3</v>
      </c>
      <c r="BF507" t="s">
        <v>3</v>
      </c>
      <c r="BG507" t="s">
        <v>3</v>
      </c>
      <c r="BH507">
        <v>0</v>
      </c>
      <c r="BI507">
        <v>4</v>
      </c>
      <c r="BJ507" t="s">
        <v>184</v>
      </c>
      <c r="BM507">
        <v>0</v>
      </c>
      <c r="BN507">
        <v>0</v>
      </c>
      <c r="BO507" t="s">
        <v>3</v>
      </c>
      <c r="BP507">
        <v>0</v>
      </c>
      <c r="BQ507">
        <v>1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70</v>
      </c>
      <c r="CA507">
        <v>10</v>
      </c>
      <c r="CB507" t="s">
        <v>3</v>
      </c>
      <c r="CE507">
        <v>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414"/>
        <v>124.69</v>
      </c>
      <c r="CQ507">
        <f t="shared" si="415"/>
        <v>0</v>
      </c>
      <c r="CR507">
        <f>(((((ET507*3))*BB507-((EU507*3))*BS507)+AE507*BS507)*AV507)</f>
        <v>0</v>
      </c>
      <c r="CS507">
        <f t="shared" si="416"/>
        <v>0</v>
      </c>
      <c r="CT507">
        <f t="shared" si="417"/>
        <v>623.42999999999995</v>
      </c>
      <c r="CU507">
        <f t="shared" si="418"/>
        <v>0</v>
      </c>
      <c r="CV507">
        <f t="shared" si="419"/>
        <v>1.23</v>
      </c>
      <c r="CW507">
        <f t="shared" si="420"/>
        <v>0</v>
      </c>
      <c r="CX507">
        <f t="shared" si="421"/>
        <v>0</v>
      </c>
      <c r="CY507">
        <f t="shared" si="422"/>
        <v>87.282999999999987</v>
      </c>
      <c r="CZ507">
        <f t="shared" si="423"/>
        <v>12.469000000000001</v>
      </c>
      <c r="DC507" t="s">
        <v>3</v>
      </c>
      <c r="DD507" t="s">
        <v>156</v>
      </c>
      <c r="DE507" t="s">
        <v>156</v>
      </c>
      <c r="DF507" t="s">
        <v>156</v>
      </c>
      <c r="DG507" t="s">
        <v>156</v>
      </c>
      <c r="DH507" t="s">
        <v>3</v>
      </c>
      <c r="DI507" t="s">
        <v>156</v>
      </c>
      <c r="DJ507" t="s">
        <v>156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16987630</v>
      </c>
      <c r="DV507" t="s">
        <v>18</v>
      </c>
      <c r="DW507" t="s">
        <v>18</v>
      </c>
      <c r="DX507">
        <v>10</v>
      </c>
      <c r="DZ507" t="s">
        <v>3</v>
      </c>
      <c r="EA507" t="s">
        <v>3</v>
      </c>
      <c r="EB507" t="s">
        <v>3</v>
      </c>
      <c r="EC507" t="s">
        <v>3</v>
      </c>
      <c r="EE507">
        <v>1441815344</v>
      </c>
      <c r="EF507">
        <v>1</v>
      </c>
      <c r="EG507" t="s">
        <v>21</v>
      </c>
      <c r="EH507">
        <v>0</v>
      </c>
      <c r="EI507" t="s">
        <v>3</v>
      </c>
      <c r="EJ507">
        <v>4</v>
      </c>
      <c r="EK507">
        <v>0</v>
      </c>
      <c r="EL507" t="s">
        <v>22</v>
      </c>
      <c r="EM507" t="s">
        <v>23</v>
      </c>
      <c r="EO507" t="s">
        <v>3</v>
      </c>
      <c r="EQ507">
        <v>1024</v>
      </c>
      <c r="ER507">
        <v>207.81</v>
      </c>
      <c r="ES507">
        <v>0</v>
      </c>
      <c r="ET507">
        <v>0</v>
      </c>
      <c r="EU507">
        <v>0</v>
      </c>
      <c r="EV507">
        <v>207.81</v>
      </c>
      <c r="EW507">
        <v>0.41</v>
      </c>
      <c r="EX507">
        <v>0</v>
      </c>
      <c r="EY507">
        <v>0</v>
      </c>
      <c r="FQ507">
        <v>0</v>
      </c>
      <c r="FR507">
        <f t="shared" si="424"/>
        <v>0</v>
      </c>
      <c r="FS507">
        <v>0</v>
      </c>
      <c r="FX507">
        <v>70</v>
      </c>
      <c r="FY507">
        <v>10</v>
      </c>
      <c r="GA507" t="s">
        <v>3</v>
      </c>
      <c r="GD507">
        <v>0</v>
      </c>
      <c r="GF507">
        <v>1497006217</v>
      </c>
      <c r="GG507">
        <v>2</v>
      </c>
      <c r="GH507">
        <v>1</v>
      </c>
      <c r="GI507">
        <v>-2</v>
      </c>
      <c r="GJ507">
        <v>0</v>
      </c>
      <c r="GK507">
        <f>ROUND(R507*(R12)/100,2)</f>
        <v>0</v>
      </c>
      <c r="GL507">
        <f t="shared" si="425"/>
        <v>0</v>
      </c>
      <c r="GM507">
        <f t="shared" si="426"/>
        <v>224.44</v>
      </c>
      <c r="GN507">
        <f t="shared" si="427"/>
        <v>0</v>
      </c>
      <c r="GO507">
        <f t="shared" si="428"/>
        <v>0</v>
      </c>
      <c r="GP507">
        <f t="shared" si="429"/>
        <v>224.44</v>
      </c>
      <c r="GR507">
        <v>0</v>
      </c>
      <c r="GS507">
        <v>3</v>
      </c>
      <c r="GT507">
        <v>0</v>
      </c>
      <c r="GU507" t="s">
        <v>3</v>
      </c>
      <c r="GV507">
        <f t="shared" si="430"/>
        <v>0</v>
      </c>
      <c r="GW507">
        <v>1</v>
      </c>
      <c r="GX507">
        <f t="shared" si="431"/>
        <v>0</v>
      </c>
      <c r="HA507">
        <v>0</v>
      </c>
      <c r="HB507">
        <v>0</v>
      </c>
      <c r="HC507">
        <f t="shared" si="432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D508">
        <f>ROW(EtalonRes!A293)</f>
        <v>293</v>
      </c>
      <c r="E508" t="s">
        <v>3</v>
      </c>
      <c r="F508" t="s">
        <v>263</v>
      </c>
      <c r="G508" t="s">
        <v>264</v>
      </c>
      <c r="H508" t="s">
        <v>18</v>
      </c>
      <c r="I508">
        <f>ROUND(2*4/10,9)</f>
        <v>0.8</v>
      </c>
      <c r="J508">
        <v>0</v>
      </c>
      <c r="K508">
        <f>ROUND(2*4/10,9)</f>
        <v>0.8</v>
      </c>
      <c r="O508">
        <f t="shared" si="400"/>
        <v>840.98</v>
      </c>
      <c r="P508">
        <f t="shared" si="401"/>
        <v>1.34</v>
      </c>
      <c r="Q508">
        <f t="shared" si="402"/>
        <v>3.27</v>
      </c>
      <c r="R508">
        <f t="shared" si="403"/>
        <v>0.05</v>
      </c>
      <c r="S508">
        <f t="shared" si="404"/>
        <v>836.37</v>
      </c>
      <c r="T508">
        <f t="shared" si="405"/>
        <v>0</v>
      </c>
      <c r="U508">
        <f t="shared" si="406"/>
        <v>1.4720000000000002</v>
      </c>
      <c r="V508">
        <f t="shared" si="407"/>
        <v>0</v>
      </c>
      <c r="W508">
        <f t="shared" si="408"/>
        <v>0</v>
      </c>
      <c r="X508">
        <f t="shared" si="409"/>
        <v>585.46</v>
      </c>
      <c r="Y508">
        <f t="shared" si="410"/>
        <v>83.64</v>
      </c>
      <c r="AA508">
        <v>-1</v>
      </c>
      <c r="AB508">
        <f t="shared" si="411"/>
        <v>1051.22</v>
      </c>
      <c r="AC508">
        <f>ROUND((ES508),6)</f>
        <v>1.67</v>
      </c>
      <c r="AD508">
        <f>ROUND((((ET508)-(EU508))+AE508),6)</f>
        <v>4.09</v>
      </c>
      <c r="AE508">
        <f>ROUND((EU508),6)</f>
        <v>0.06</v>
      </c>
      <c r="AF508">
        <f>ROUND((EV508),6)</f>
        <v>1045.46</v>
      </c>
      <c r="AG508">
        <f t="shared" si="412"/>
        <v>0</v>
      </c>
      <c r="AH508">
        <f>(EW508)</f>
        <v>1.84</v>
      </c>
      <c r="AI508">
        <f>(EX508)</f>
        <v>0</v>
      </c>
      <c r="AJ508">
        <f t="shared" si="413"/>
        <v>0</v>
      </c>
      <c r="AK508">
        <v>1051.22</v>
      </c>
      <c r="AL508">
        <v>1.67</v>
      </c>
      <c r="AM508">
        <v>4.09</v>
      </c>
      <c r="AN508">
        <v>0.06</v>
      </c>
      <c r="AO508">
        <v>1045.46</v>
      </c>
      <c r="AP508">
        <v>0</v>
      </c>
      <c r="AQ508">
        <v>1.84</v>
      </c>
      <c r="AR508">
        <v>0</v>
      </c>
      <c r="AS508">
        <v>0</v>
      </c>
      <c r="AT508">
        <v>70</v>
      </c>
      <c r="AU508">
        <v>10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1</v>
      </c>
      <c r="BD508" t="s">
        <v>3</v>
      </c>
      <c r="BE508" t="s">
        <v>3</v>
      </c>
      <c r="BF508" t="s">
        <v>3</v>
      </c>
      <c r="BG508" t="s">
        <v>3</v>
      </c>
      <c r="BH508">
        <v>0</v>
      </c>
      <c r="BI508">
        <v>4</v>
      </c>
      <c r="BJ508" t="s">
        <v>265</v>
      </c>
      <c r="BM508">
        <v>0</v>
      </c>
      <c r="BN508">
        <v>0</v>
      </c>
      <c r="BO508" t="s">
        <v>3</v>
      </c>
      <c r="BP508">
        <v>0</v>
      </c>
      <c r="BQ508">
        <v>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70</v>
      </c>
      <c r="CA508">
        <v>10</v>
      </c>
      <c r="CB508" t="s">
        <v>3</v>
      </c>
      <c r="CE508">
        <v>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414"/>
        <v>840.98</v>
      </c>
      <c r="CQ508">
        <f t="shared" si="415"/>
        <v>1.67</v>
      </c>
      <c r="CR508">
        <f>((((ET508)*BB508-(EU508)*BS508)+AE508*BS508)*AV508)</f>
        <v>4.09</v>
      </c>
      <c r="CS508">
        <f t="shared" si="416"/>
        <v>0.06</v>
      </c>
      <c r="CT508">
        <f t="shared" si="417"/>
        <v>1045.46</v>
      </c>
      <c r="CU508">
        <f t="shared" si="418"/>
        <v>0</v>
      </c>
      <c r="CV508">
        <f t="shared" si="419"/>
        <v>1.84</v>
      </c>
      <c r="CW508">
        <f t="shared" si="420"/>
        <v>0</v>
      </c>
      <c r="CX508">
        <f t="shared" si="421"/>
        <v>0</v>
      </c>
      <c r="CY508">
        <f t="shared" si="422"/>
        <v>585.45900000000006</v>
      </c>
      <c r="CZ508">
        <f t="shared" si="423"/>
        <v>83.637</v>
      </c>
      <c r="DC508" t="s">
        <v>3</v>
      </c>
      <c r="DD508" t="s">
        <v>3</v>
      </c>
      <c r="DE508" t="s">
        <v>3</v>
      </c>
      <c r="DF508" t="s">
        <v>3</v>
      </c>
      <c r="DG508" t="s">
        <v>3</v>
      </c>
      <c r="DH508" t="s">
        <v>3</v>
      </c>
      <c r="DI508" t="s">
        <v>3</v>
      </c>
      <c r="DJ508" t="s">
        <v>3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16987630</v>
      </c>
      <c r="DV508" t="s">
        <v>18</v>
      </c>
      <c r="DW508" t="s">
        <v>18</v>
      </c>
      <c r="DX508">
        <v>10</v>
      </c>
      <c r="DZ508" t="s">
        <v>3</v>
      </c>
      <c r="EA508" t="s">
        <v>3</v>
      </c>
      <c r="EB508" t="s">
        <v>3</v>
      </c>
      <c r="EC508" t="s">
        <v>3</v>
      </c>
      <c r="EE508">
        <v>1441815344</v>
      </c>
      <c r="EF508">
        <v>1</v>
      </c>
      <c r="EG508" t="s">
        <v>21</v>
      </c>
      <c r="EH508">
        <v>0</v>
      </c>
      <c r="EI508" t="s">
        <v>3</v>
      </c>
      <c r="EJ508">
        <v>4</v>
      </c>
      <c r="EK508">
        <v>0</v>
      </c>
      <c r="EL508" t="s">
        <v>22</v>
      </c>
      <c r="EM508" t="s">
        <v>23</v>
      </c>
      <c r="EO508" t="s">
        <v>3</v>
      </c>
      <c r="EQ508">
        <v>1024</v>
      </c>
      <c r="ER508">
        <v>1051.22</v>
      </c>
      <c r="ES508">
        <v>1.67</v>
      </c>
      <c r="ET508">
        <v>4.09</v>
      </c>
      <c r="EU508">
        <v>0.06</v>
      </c>
      <c r="EV508">
        <v>1045.46</v>
      </c>
      <c r="EW508">
        <v>1.84</v>
      </c>
      <c r="EX508">
        <v>0</v>
      </c>
      <c r="EY508">
        <v>0</v>
      </c>
      <c r="FQ508">
        <v>0</v>
      </c>
      <c r="FR508">
        <f t="shared" si="424"/>
        <v>0</v>
      </c>
      <c r="FS508">
        <v>0</v>
      </c>
      <c r="FX508">
        <v>70</v>
      </c>
      <c r="FY508">
        <v>10</v>
      </c>
      <c r="GA508" t="s">
        <v>3</v>
      </c>
      <c r="GD508">
        <v>0</v>
      </c>
      <c r="GF508">
        <v>373109242</v>
      </c>
      <c r="GG508">
        <v>2</v>
      </c>
      <c r="GH508">
        <v>1</v>
      </c>
      <c r="GI508">
        <v>-2</v>
      </c>
      <c r="GJ508">
        <v>0</v>
      </c>
      <c r="GK508">
        <f>ROUND(R508*(R12)/100,2)</f>
        <v>0.05</v>
      </c>
      <c r="GL508">
        <f t="shared" si="425"/>
        <v>0</v>
      </c>
      <c r="GM508">
        <f t="shared" si="426"/>
        <v>1510.13</v>
      </c>
      <c r="GN508">
        <f t="shared" si="427"/>
        <v>0</v>
      </c>
      <c r="GO508">
        <f t="shared" si="428"/>
        <v>0</v>
      </c>
      <c r="GP508">
        <f t="shared" si="429"/>
        <v>1510.13</v>
      </c>
      <c r="GR508">
        <v>0</v>
      </c>
      <c r="GS508">
        <v>3</v>
      </c>
      <c r="GT508">
        <v>0</v>
      </c>
      <c r="GU508" t="s">
        <v>3</v>
      </c>
      <c r="GV508">
        <f t="shared" si="430"/>
        <v>0</v>
      </c>
      <c r="GW508">
        <v>1</v>
      </c>
      <c r="GX508">
        <f t="shared" si="431"/>
        <v>0</v>
      </c>
      <c r="HA508">
        <v>0</v>
      </c>
      <c r="HB508">
        <v>0</v>
      </c>
      <c r="HC508">
        <f t="shared" si="432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D509">
        <f>ROW(EtalonRes!A296)</f>
        <v>296</v>
      </c>
      <c r="E509" t="s">
        <v>3</v>
      </c>
      <c r="F509" t="s">
        <v>263</v>
      </c>
      <c r="G509" t="s">
        <v>264</v>
      </c>
      <c r="H509" t="s">
        <v>18</v>
      </c>
      <c r="I509">
        <f>ROUND(2*4/10,9)</f>
        <v>0.8</v>
      </c>
      <c r="J509">
        <v>0</v>
      </c>
      <c r="K509">
        <f>ROUND(2*4/10,9)</f>
        <v>0.8</v>
      </c>
      <c r="O509">
        <f t="shared" si="400"/>
        <v>840.98</v>
      </c>
      <c r="P509">
        <f t="shared" si="401"/>
        <v>1.34</v>
      </c>
      <c r="Q509">
        <f t="shared" si="402"/>
        <v>3.27</v>
      </c>
      <c r="R509">
        <f t="shared" si="403"/>
        <v>0.05</v>
      </c>
      <c r="S509">
        <f t="shared" si="404"/>
        <v>836.37</v>
      </c>
      <c r="T509">
        <f t="shared" si="405"/>
        <v>0</v>
      </c>
      <c r="U509">
        <f t="shared" si="406"/>
        <v>1.4720000000000002</v>
      </c>
      <c r="V509">
        <f t="shared" si="407"/>
        <v>0</v>
      </c>
      <c r="W509">
        <f t="shared" si="408"/>
        <v>0</v>
      </c>
      <c r="X509">
        <f t="shared" si="409"/>
        <v>585.46</v>
      </c>
      <c r="Y509">
        <f t="shared" si="410"/>
        <v>83.64</v>
      </c>
      <c r="AA509">
        <v>-1</v>
      </c>
      <c r="AB509">
        <f t="shared" si="411"/>
        <v>1051.22</v>
      </c>
      <c r="AC509">
        <f>ROUND((ES509),6)</f>
        <v>1.67</v>
      </c>
      <c r="AD509">
        <f>ROUND((((ET509)-(EU509))+AE509),6)</f>
        <v>4.09</v>
      </c>
      <c r="AE509">
        <f>ROUND((EU509),6)</f>
        <v>0.06</v>
      </c>
      <c r="AF509">
        <f>ROUND((EV509),6)</f>
        <v>1045.46</v>
      </c>
      <c r="AG509">
        <f t="shared" si="412"/>
        <v>0</v>
      </c>
      <c r="AH509">
        <f>(EW509)</f>
        <v>1.84</v>
      </c>
      <c r="AI509">
        <f>(EX509)</f>
        <v>0</v>
      </c>
      <c r="AJ509">
        <f t="shared" si="413"/>
        <v>0</v>
      </c>
      <c r="AK509">
        <v>1051.22</v>
      </c>
      <c r="AL509">
        <v>1.67</v>
      </c>
      <c r="AM509">
        <v>4.09</v>
      </c>
      <c r="AN509">
        <v>0.06</v>
      </c>
      <c r="AO509">
        <v>1045.46</v>
      </c>
      <c r="AP509">
        <v>0</v>
      </c>
      <c r="AQ509">
        <v>1.84</v>
      </c>
      <c r="AR509">
        <v>0</v>
      </c>
      <c r="AS509">
        <v>0</v>
      </c>
      <c r="AT509">
        <v>70</v>
      </c>
      <c r="AU509">
        <v>10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1</v>
      </c>
      <c r="BD509" t="s">
        <v>3</v>
      </c>
      <c r="BE509" t="s">
        <v>3</v>
      </c>
      <c r="BF509" t="s">
        <v>3</v>
      </c>
      <c r="BG509" t="s">
        <v>3</v>
      </c>
      <c r="BH509">
        <v>0</v>
      </c>
      <c r="BI509">
        <v>4</v>
      </c>
      <c r="BJ509" t="s">
        <v>265</v>
      </c>
      <c r="BM509">
        <v>0</v>
      </c>
      <c r="BN509">
        <v>0</v>
      </c>
      <c r="BO509" t="s">
        <v>3</v>
      </c>
      <c r="BP509">
        <v>0</v>
      </c>
      <c r="BQ509">
        <v>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70</v>
      </c>
      <c r="CA509">
        <v>10</v>
      </c>
      <c r="CB509" t="s">
        <v>3</v>
      </c>
      <c r="CE509">
        <v>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414"/>
        <v>840.98</v>
      </c>
      <c r="CQ509">
        <f t="shared" si="415"/>
        <v>1.67</v>
      </c>
      <c r="CR509">
        <f>((((ET509)*BB509-(EU509)*BS509)+AE509*BS509)*AV509)</f>
        <v>4.09</v>
      </c>
      <c r="CS509">
        <f t="shared" si="416"/>
        <v>0.06</v>
      </c>
      <c r="CT509">
        <f t="shared" si="417"/>
        <v>1045.46</v>
      </c>
      <c r="CU509">
        <f t="shared" si="418"/>
        <v>0</v>
      </c>
      <c r="CV509">
        <f t="shared" si="419"/>
        <v>1.84</v>
      </c>
      <c r="CW509">
        <f t="shared" si="420"/>
        <v>0</v>
      </c>
      <c r="CX509">
        <f t="shared" si="421"/>
        <v>0</v>
      </c>
      <c r="CY509">
        <f t="shared" si="422"/>
        <v>585.45900000000006</v>
      </c>
      <c r="CZ509">
        <f t="shared" si="423"/>
        <v>83.637</v>
      </c>
      <c r="DC509" t="s">
        <v>3</v>
      </c>
      <c r="DD509" t="s">
        <v>3</v>
      </c>
      <c r="DE509" t="s">
        <v>3</v>
      </c>
      <c r="DF509" t="s">
        <v>3</v>
      </c>
      <c r="DG509" t="s">
        <v>3</v>
      </c>
      <c r="DH509" t="s">
        <v>3</v>
      </c>
      <c r="DI509" t="s">
        <v>3</v>
      </c>
      <c r="DJ509" t="s">
        <v>3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16987630</v>
      </c>
      <c r="DV509" t="s">
        <v>18</v>
      </c>
      <c r="DW509" t="s">
        <v>18</v>
      </c>
      <c r="DX509">
        <v>10</v>
      </c>
      <c r="DZ509" t="s">
        <v>3</v>
      </c>
      <c r="EA509" t="s">
        <v>3</v>
      </c>
      <c r="EB509" t="s">
        <v>3</v>
      </c>
      <c r="EC509" t="s">
        <v>3</v>
      </c>
      <c r="EE509">
        <v>1441815344</v>
      </c>
      <c r="EF509">
        <v>1</v>
      </c>
      <c r="EG509" t="s">
        <v>21</v>
      </c>
      <c r="EH509">
        <v>0</v>
      </c>
      <c r="EI509" t="s">
        <v>3</v>
      </c>
      <c r="EJ509">
        <v>4</v>
      </c>
      <c r="EK509">
        <v>0</v>
      </c>
      <c r="EL509" t="s">
        <v>22</v>
      </c>
      <c r="EM509" t="s">
        <v>23</v>
      </c>
      <c r="EO509" t="s">
        <v>3</v>
      </c>
      <c r="EQ509">
        <v>1024</v>
      </c>
      <c r="ER509">
        <v>1051.22</v>
      </c>
      <c r="ES509">
        <v>1.67</v>
      </c>
      <c r="ET509">
        <v>4.09</v>
      </c>
      <c r="EU509">
        <v>0.06</v>
      </c>
      <c r="EV509">
        <v>1045.46</v>
      </c>
      <c r="EW509">
        <v>1.84</v>
      </c>
      <c r="EX509">
        <v>0</v>
      </c>
      <c r="EY509">
        <v>0</v>
      </c>
      <c r="FQ509">
        <v>0</v>
      </c>
      <c r="FR509">
        <f t="shared" si="424"/>
        <v>0</v>
      </c>
      <c r="FS509">
        <v>0</v>
      </c>
      <c r="FX509">
        <v>70</v>
      </c>
      <c r="FY509">
        <v>10</v>
      </c>
      <c r="GA509" t="s">
        <v>3</v>
      </c>
      <c r="GD509">
        <v>0</v>
      </c>
      <c r="GF509">
        <v>373109242</v>
      </c>
      <c r="GG509">
        <v>2</v>
      </c>
      <c r="GH509">
        <v>1</v>
      </c>
      <c r="GI509">
        <v>-2</v>
      </c>
      <c r="GJ509">
        <v>0</v>
      </c>
      <c r="GK509">
        <f>ROUND(R509*(R12)/100,2)</f>
        <v>0.05</v>
      </c>
      <c r="GL509">
        <f t="shared" si="425"/>
        <v>0</v>
      </c>
      <c r="GM509">
        <f t="shared" si="426"/>
        <v>1510.13</v>
      </c>
      <c r="GN509">
        <f t="shared" si="427"/>
        <v>0</v>
      </c>
      <c r="GO509">
        <f t="shared" si="428"/>
        <v>0</v>
      </c>
      <c r="GP509">
        <f t="shared" si="429"/>
        <v>1510.13</v>
      </c>
      <c r="GR509">
        <v>0</v>
      </c>
      <c r="GS509">
        <v>3</v>
      </c>
      <c r="GT509">
        <v>0</v>
      </c>
      <c r="GU509" t="s">
        <v>3</v>
      </c>
      <c r="GV509">
        <f t="shared" si="430"/>
        <v>0</v>
      </c>
      <c r="GW509">
        <v>1</v>
      </c>
      <c r="GX509">
        <f t="shared" si="431"/>
        <v>0</v>
      </c>
      <c r="HA509">
        <v>0</v>
      </c>
      <c r="HB509">
        <v>0</v>
      </c>
      <c r="HC509">
        <f t="shared" si="432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D510">
        <f>ROW(EtalonRes!A299)</f>
        <v>299</v>
      </c>
      <c r="E510" t="s">
        <v>3</v>
      </c>
      <c r="F510" t="s">
        <v>267</v>
      </c>
      <c r="G510" t="s">
        <v>268</v>
      </c>
      <c r="H510" t="s">
        <v>18</v>
      </c>
      <c r="I510">
        <f>ROUND(2*4/10,9)</f>
        <v>0.8</v>
      </c>
      <c r="J510">
        <v>0</v>
      </c>
      <c r="K510">
        <f>ROUND(2*4/10,9)</f>
        <v>0.8</v>
      </c>
      <c r="O510">
        <f t="shared" si="400"/>
        <v>462.8</v>
      </c>
      <c r="P510">
        <f t="shared" si="401"/>
        <v>1.24</v>
      </c>
      <c r="Q510">
        <f t="shared" si="402"/>
        <v>2.96</v>
      </c>
      <c r="R510">
        <f t="shared" si="403"/>
        <v>0.04</v>
      </c>
      <c r="S510">
        <f t="shared" si="404"/>
        <v>458.6</v>
      </c>
      <c r="T510">
        <f t="shared" si="405"/>
        <v>0</v>
      </c>
      <c r="U510">
        <f t="shared" si="406"/>
        <v>0.8</v>
      </c>
      <c r="V510">
        <f t="shared" si="407"/>
        <v>0</v>
      </c>
      <c r="W510">
        <f t="shared" si="408"/>
        <v>0</v>
      </c>
      <c r="X510">
        <f t="shared" si="409"/>
        <v>321.02</v>
      </c>
      <c r="Y510">
        <f t="shared" si="410"/>
        <v>45.86</v>
      </c>
      <c r="AA510">
        <v>-1</v>
      </c>
      <c r="AB510">
        <f t="shared" si="411"/>
        <v>578.5</v>
      </c>
      <c r="AC510">
        <f>ROUND(((ES510*5)),6)</f>
        <v>1.55</v>
      </c>
      <c r="AD510">
        <f>ROUND(((((ET510*5))-((EU510*5)))+AE510),6)</f>
        <v>3.7</v>
      </c>
      <c r="AE510">
        <f>ROUND(((EU510*5)),6)</f>
        <v>0.05</v>
      </c>
      <c r="AF510">
        <f>ROUND(((EV510*5)),6)</f>
        <v>573.25</v>
      </c>
      <c r="AG510">
        <f t="shared" si="412"/>
        <v>0</v>
      </c>
      <c r="AH510">
        <f>((EW510*5))</f>
        <v>1</v>
      </c>
      <c r="AI510">
        <f>((EX510*5))</f>
        <v>0</v>
      </c>
      <c r="AJ510">
        <f t="shared" si="413"/>
        <v>0</v>
      </c>
      <c r="AK510">
        <v>115.7</v>
      </c>
      <c r="AL510">
        <v>0.31</v>
      </c>
      <c r="AM510">
        <v>0.74</v>
      </c>
      <c r="AN510">
        <v>0.01</v>
      </c>
      <c r="AO510">
        <v>114.65</v>
      </c>
      <c r="AP510">
        <v>0</v>
      </c>
      <c r="AQ510">
        <v>0.2</v>
      </c>
      <c r="AR510">
        <v>0</v>
      </c>
      <c r="AS510">
        <v>0</v>
      </c>
      <c r="AT510">
        <v>70</v>
      </c>
      <c r="AU510">
        <v>10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1</v>
      </c>
      <c r="BD510" t="s">
        <v>3</v>
      </c>
      <c r="BE510" t="s">
        <v>3</v>
      </c>
      <c r="BF510" t="s">
        <v>3</v>
      </c>
      <c r="BG510" t="s">
        <v>3</v>
      </c>
      <c r="BH510">
        <v>0</v>
      </c>
      <c r="BI510">
        <v>4</v>
      </c>
      <c r="BJ510" t="s">
        <v>269</v>
      </c>
      <c r="BM510">
        <v>0</v>
      </c>
      <c r="BN510">
        <v>0</v>
      </c>
      <c r="BO510" t="s">
        <v>3</v>
      </c>
      <c r="BP510">
        <v>0</v>
      </c>
      <c r="BQ510">
        <v>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70</v>
      </c>
      <c r="CA510">
        <v>10</v>
      </c>
      <c r="CB510" t="s">
        <v>3</v>
      </c>
      <c r="CE510">
        <v>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414"/>
        <v>462.8</v>
      </c>
      <c r="CQ510">
        <f t="shared" si="415"/>
        <v>1.55</v>
      </c>
      <c r="CR510">
        <f>(((((ET510*5))*BB510-((EU510*5))*BS510)+AE510*BS510)*AV510)</f>
        <v>3.7</v>
      </c>
      <c r="CS510">
        <f t="shared" si="416"/>
        <v>0.05</v>
      </c>
      <c r="CT510">
        <f t="shared" si="417"/>
        <v>573.25</v>
      </c>
      <c r="CU510">
        <f t="shared" si="418"/>
        <v>0</v>
      </c>
      <c r="CV510">
        <f t="shared" si="419"/>
        <v>1</v>
      </c>
      <c r="CW510">
        <f t="shared" si="420"/>
        <v>0</v>
      </c>
      <c r="CX510">
        <f t="shared" si="421"/>
        <v>0</v>
      </c>
      <c r="CY510">
        <f t="shared" si="422"/>
        <v>321.02</v>
      </c>
      <c r="CZ510">
        <f t="shared" si="423"/>
        <v>45.86</v>
      </c>
      <c r="DC510" t="s">
        <v>3</v>
      </c>
      <c r="DD510" t="s">
        <v>152</v>
      </c>
      <c r="DE510" t="s">
        <v>152</v>
      </c>
      <c r="DF510" t="s">
        <v>152</v>
      </c>
      <c r="DG510" t="s">
        <v>152</v>
      </c>
      <c r="DH510" t="s">
        <v>3</v>
      </c>
      <c r="DI510" t="s">
        <v>152</v>
      </c>
      <c r="DJ510" t="s">
        <v>152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16987630</v>
      </c>
      <c r="DV510" t="s">
        <v>18</v>
      </c>
      <c r="DW510" t="s">
        <v>18</v>
      </c>
      <c r="DX510">
        <v>10</v>
      </c>
      <c r="DZ510" t="s">
        <v>3</v>
      </c>
      <c r="EA510" t="s">
        <v>3</v>
      </c>
      <c r="EB510" t="s">
        <v>3</v>
      </c>
      <c r="EC510" t="s">
        <v>3</v>
      </c>
      <c r="EE510">
        <v>1441815344</v>
      </c>
      <c r="EF510">
        <v>1</v>
      </c>
      <c r="EG510" t="s">
        <v>21</v>
      </c>
      <c r="EH510">
        <v>0</v>
      </c>
      <c r="EI510" t="s">
        <v>3</v>
      </c>
      <c r="EJ510">
        <v>4</v>
      </c>
      <c r="EK510">
        <v>0</v>
      </c>
      <c r="EL510" t="s">
        <v>22</v>
      </c>
      <c r="EM510" t="s">
        <v>23</v>
      </c>
      <c r="EO510" t="s">
        <v>3</v>
      </c>
      <c r="EQ510">
        <v>1024</v>
      </c>
      <c r="ER510">
        <v>115.7</v>
      </c>
      <c r="ES510">
        <v>0.31</v>
      </c>
      <c r="ET510">
        <v>0.74</v>
      </c>
      <c r="EU510">
        <v>0.01</v>
      </c>
      <c r="EV510">
        <v>114.65</v>
      </c>
      <c r="EW510">
        <v>0.2</v>
      </c>
      <c r="EX510">
        <v>0</v>
      </c>
      <c r="EY510">
        <v>0</v>
      </c>
      <c r="FQ510">
        <v>0</v>
      </c>
      <c r="FR510">
        <f t="shared" si="424"/>
        <v>0</v>
      </c>
      <c r="FS510">
        <v>0</v>
      </c>
      <c r="FX510">
        <v>70</v>
      </c>
      <c r="FY510">
        <v>10</v>
      </c>
      <c r="GA510" t="s">
        <v>3</v>
      </c>
      <c r="GD510">
        <v>0</v>
      </c>
      <c r="GF510">
        <v>-565925046</v>
      </c>
      <c r="GG510">
        <v>2</v>
      </c>
      <c r="GH510">
        <v>1</v>
      </c>
      <c r="GI510">
        <v>-2</v>
      </c>
      <c r="GJ510">
        <v>0</v>
      </c>
      <c r="GK510">
        <f>ROUND(R510*(R12)/100,2)</f>
        <v>0.04</v>
      </c>
      <c r="GL510">
        <f t="shared" si="425"/>
        <v>0</v>
      </c>
      <c r="GM510">
        <f t="shared" si="426"/>
        <v>829.72</v>
      </c>
      <c r="GN510">
        <f t="shared" si="427"/>
        <v>0</v>
      </c>
      <c r="GO510">
        <f t="shared" si="428"/>
        <v>0</v>
      </c>
      <c r="GP510">
        <f t="shared" si="429"/>
        <v>829.72</v>
      </c>
      <c r="GR510">
        <v>0</v>
      </c>
      <c r="GS510">
        <v>3</v>
      </c>
      <c r="GT510">
        <v>0</v>
      </c>
      <c r="GU510" t="s">
        <v>3</v>
      </c>
      <c r="GV510">
        <f t="shared" si="430"/>
        <v>0</v>
      </c>
      <c r="GW510">
        <v>1</v>
      </c>
      <c r="GX510">
        <f t="shared" si="431"/>
        <v>0</v>
      </c>
      <c r="HA510">
        <v>0</v>
      </c>
      <c r="HB510">
        <v>0</v>
      </c>
      <c r="HC510">
        <f t="shared" si="432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D511">
        <f>ROW(EtalonRes!A302)</f>
        <v>302</v>
      </c>
      <c r="E511" t="s">
        <v>3</v>
      </c>
      <c r="F511" t="s">
        <v>185</v>
      </c>
      <c r="G511" t="s">
        <v>186</v>
      </c>
      <c r="H511" t="s">
        <v>31</v>
      </c>
      <c r="I511">
        <f>ROUND((3*13)/100,9)</f>
        <v>0.39</v>
      </c>
      <c r="J511">
        <v>0</v>
      </c>
      <c r="K511">
        <f>ROUND((3*13)/100,9)</f>
        <v>0.39</v>
      </c>
      <c r="O511">
        <f t="shared" si="400"/>
        <v>21644.94</v>
      </c>
      <c r="P511">
        <f t="shared" si="401"/>
        <v>3907.04</v>
      </c>
      <c r="Q511">
        <f t="shared" si="402"/>
        <v>0</v>
      </c>
      <c r="R511">
        <f t="shared" si="403"/>
        <v>0</v>
      </c>
      <c r="S511">
        <f t="shared" si="404"/>
        <v>17737.900000000001</v>
      </c>
      <c r="T511">
        <f t="shared" si="405"/>
        <v>0</v>
      </c>
      <c r="U511">
        <f t="shared" si="406"/>
        <v>54.463499999999996</v>
      </c>
      <c r="V511">
        <f t="shared" si="407"/>
        <v>0</v>
      </c>
      <c r="W511">
        <f t="shared" si="408"/>
        <v>0</v>
      </c>
      <c r="X511">
        <f t="shared" si="409"/>
        <v>12416.53</v>
      </c>
      <c r="Y511">
        <f t="shared" si="410"/>
        <v>1773.79</v>
      </c>
      <c r="AA511">
        <v>-1</v>
      </c>
      <c r="AB511">
        <f t="shared" si="411"/>
        <v>55499.85</v>
      </c>
      <c r="AC511">
        <f>ROUND(((ES511*245)),6)</f>
        <v>10018.049999999999</v>
      </c>
      <c r="AD511">
        <f>ROUND((((ET511)-(EU511))+AE511),6)</f>
        <v>0</v>
      </c>
      <c r="AE511">
        <f>ROUND((EU511),6)</f>
        <v>0</v>
      </c>
      <c r="AF511">
        <f>ROUND(((EV511*245)),6)</f>
        <v>45481.8</v>
      </c>
      <c r="AG511">
        <f t="shared" si="412"/>
        <v>0</v>
      </c>
      <c r="AH511">
        <f>((EW511*245))</f>
        <v>139.64999999999998</v>
      </c>
      <c r="AI511">
        <f>(EX511)</f>
        <v>0</v>
      </c>
      <c r="AJ511">
        <f t="shared" si="413"/>
        <v>0</v>
      </c>
      <c r="AK511">
        <v>226.53</v>
      </c>
      <c r="AL511">
        <v>40.89</v>
      </c>
      <c r="AM511">
        <v>0</v>
      </c>
      <c r="AN511">
        <v>0</v>
      </c>
      <c r="AO511">
        <v>185.64</v>
      </c>
      <c r="AP511">
        <v>0</v>
      </c>
      <c r="AQ511">
        <v>0.56999999999999995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187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414"/>
        <v>21644.940000000002</v>
      </c>
      <c r="CQ511">
        <f t="shared" si="415"/>
        <v>10018.049999999999</v>
      </c>
      <c r="CR511">
        <f>((((ET511)*BB511-(EU511)*BS511)+AE511*BS511)*AV511)</f>
        <v>0</v>
      </c>
      <c r="CS511">
        <f t="shared" si="416"/>
        <v>0</v>
      </c>
      <c r="CT511">
        <f t="shared" si="417"/>
        <v>45481.8</v>
      </c>
      <c r="CU511">
        <f t="shared" si="418"/>
        <v>0</v>
      </c>
      <c r="CV511">
        <f t="shared" si="419"/>
        <v>139.64999999999998</v>
      </c>
      <c r="CW511">
        <f t="shared" si="420"/>
        <v>0</v>
      </c>
      <c r="CX511">
        <f t="shared" si="421"/>
        <v>0</v>
      </c>
      <c r="CY511">
        <f t="shared" si="422"/>
        <v>12416.53</v>
      </c>
      <c r="CZ511">
        <f t="shared" si="423"/>
        <v>1773.79</v>
      </c>
      <c r="DC511" t="s">
        <v>3</v>
      </c>
      <c r="DD511" t="s">
        <v>82</v>
      </c>
      <c r="DE511" t="s">
        <v>3</v>
      </c>
      <c r="DF511" t="s">
        <v>3</v>
      </c>
      <c r="DG511" t="s">
        <v>82</v>
      </c>
      <c r="DH511" t="s">
        <v>3</v>
      </c>
      <c r="DI511" t="s">
        <v>82</v>
      </c>
      <c r="DJ511" t="s">
        <v>3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31</v>
      </c>
      <c r="DW511" t="s">
        <v>31</v>
      </c>
      <c r="DX511">
        <v>100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21</v>
      </c>
      <c r="EH511">
        <v>0</v>
      </c>
      <c r="EI511" t="s">
        <v>3</v>
      </c>
      <c r="EJ511">
        <v>4</v>
      </c>
      <c r="EK511">
        <v>0</v>
      </c>
      <c r="EL511" t="s">
        <v>22</v>
      </c>
      <c r="EM511" t="s">
        <v>23</v>
      </c>
      <c r="EO511" t="s">
        <v>3</v>
      </c>
      <c r="EQ511">
        <v>1024</v>
      </c>
      <c r="ER511">
        <v>226.53</v>
      </c>
      <c r="ES511">
        <v>40.89</v>
      </c>
      <c r="ET511">
        <v>0</v>
      </c>
      <c r="EU511">
        <v>0</v>
      </c>
      <c r="EV511">
        <v>185.64</v>
      </c>
      <c r="EW511">
        <v>0.56999999999999995</v>
      </c>
      <c r="EX511">
        <v>0</v>
      </c>
      <c r="EY511">
        <v>0</v>
      </c>
      <c r="FQ511">
        <v>0</v>
      </c>
      <c r="FR511">
        <f t="shared" si="424"/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1227685482</v>
      </c>
      <c r="GG511">
        <v>2</v>
      </c>
      <c r="GH511">
        <v>1</v>
      </c>
      <c r="GI511">
        <v>-2</v>
      </c>
      <c r="GJ511">
        <v>0</v>
      </c>
      <c r="GK511">
        <f>ROUND(R511*(R12)/100,2)</f>
        <v>0</v>
      </c>
      <c r="GL511">
        <f t="shared" si="425"/>
        <v>0</v>
      </c>
      <c r="GM511">
        <f t="shared" si="426"/>
        <v>35835.26</v>
      </c>
      <c r="GN511">
        <f t="shared" si="427"/>
        <v>0</v>
      </c>
      <c r="GO511">
        <f t="shared" si="428"/>
        <v>0</v>
      </c>
      <c r="GP511">
        <f t="shared" si="429"/>
        <v>35835.26</v>
      </c>
      <c r="GR511">
        <v>0</v>
      </c>
      <c r="GS511">
        <v>3</v>
      </c>
      <c r="GT511">
        <v>0</v>
      </c>
      <c r="GU511" t="s">
        <v>3</v>
      </c>
      <c r="GV511">
        <f t="shared" si="430"/>
        <v>0</v>
      </c>
      <c r="GW511">
        <v>1</v>
      </c>
      <c r="GX511">
        <f t="shared" si="431"/>
        <v>0</v>
      </c>
      <c r="HA511">
        <v>0</v>
      </c>
      <c r="HB511">
        <v>0</v>
      </c>
      <c r="HC511">
        <f t="shared" si="432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D512">
        <f>ROW(EtalonRes!A304)</f>
        <v>304</v>
      </c>
      <c r="E512" t="s">
        <v>3</v>
      </c>
      <c r="F512" t="s">
        <v>189</v>
      </c>
      <c r="G512" t="s">
        <v>190</v>
      </c>
      <c r="H512" t="s">
        <v>39</v>
      </c>
      <c r="I512">
        <f>ROUND(3*13,9)</f>
        <v>39</v>
      </c>
      <c r="J512">
        <v>0</v>
      </c>
      <c r="K512">
        <f>ROUND(3*13,9)</f>
        <v>39</v>
      </c>
      <c r="O512">
        <f t="shared" si="400"/>
        <v>7043.01</v>
      </c>
      <c r="P512">
        <f t="shared" si="401"/>
        <v>322.14</v>
      </c>
      <c r="Q512">
        <f t="shared" si="402"/>
        <v>0</v>
      </c>
      <c r="R512">
        <f t="shared" si="403"/>
        <v>0</v>
      </c>
      <c r="S512">
        <f t="shared" si="404"/>
        <v>6720.87</v>
      </c>
      <c r="T512">
        <f t="shared" si="405"/>
        <v>0</v>
      </c>
      <c r="U512">
        <f t="shared" si="406"/>
        <v>13.260000000000002</v>
      </c>
      <c r="V512">
        <f t="shared" si="407"/>
        <v>0</v>
      </c>
      <c r="W512">
        <f t="shared" si="408"/>
        <v>0</v>
      </c>
      <c r="X512">
        <f t="shared" si="409"/>
        <v>4704.6099999999997</v>
      </c>
      <c r="Y512">
        <f t="shared" si="410"/>
        <v>672.09</v>
      </c>
      <c r="AA512">
        <v>-1</v>
      </c>
      <c r="AB512">
        <f t="shared" si="411"/>
        <v>180.59</v>
      </c>
      <c r="AC512">
        <f>ROUND((ES512),6)</f>
        <v>8.26</v>
      </c>
      <c r="AD512">
        <f>ROUND((((ET512)-(EU512))+AE512),6)</f>
        <v>0</v>
      </c>
      <c r="AE512">
        <f>ROUND((EU512),6)</f>
        <v>0</v>
      </c>
      <c r="AF512">
        <f>ROUND((EV512),6)</f>
        <v>172.33</v>
      </c>
      <c r="AG512">
        <f t="shared" si="412"/>
        <v>0</v>
      </c>
      <c r="AH512">
        <f>(EW512)</f>
        <v>0.34</v>
      </c>
      <c r="AI512">
        <f>(EX512)</f>
        <v>0</v>
      </c>
      <c r="AJ512">
        <f t="shared" si="413"/>
        <v>0</v>
      </c>
      <c r="AK512">
        <v>180.59</v>
      </c>
      <c r="AL512">
        <v>8.26</v>
      </c>
      <c r="AM512">
        <v>0</v>
      </c>
      <c r="AN512">
        <v>0</v>
      </c>
      <c r="AO512">
        <v>172.33</v>
      </c>
      <c r="AP512">
        <v>0</v>
      </c>
      <c r="AQ512">
        <v>0.34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191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414"/>
        <v>7043.01</v>
      </c>
      <c r="CQ512">
        <f t="shared" si="415"/>
        <v>8.26</v>
      </c>
      <c r="CR512">
        <f>((((ET512)*BB512-(EU512)*BS512)+AE512*BS512)*AV512)</f>
        <v>0</v>
      </c>
      <c r="CS512">
        <f t="shared" si="416"/>
        <v>0</v>
      </c>
      <c r="CT512">
        <f t="shared" si="417"/>
        <v>172.33</v>
      </c>
      <c r="CU512">
        <f t="shared" si="418"/>
        <v>0</v>
      </c>
      <c r="CV512">
        <f t="shared" si="419"/>
        <v>0.34</v>
      </c>
      <c r="CW512">
        <f t="shared" si="420"/>
        <v>0</v>
      </c>
      <c r="CX512">
        <f t="shared" si="421"/>
        <v>0</v>
      </c>
      <c r="CY512">
        <f t="shared" si="422"/>
        <v>4704.6089999999995</v>
      </c>
      <c r="CZ512">
        <f t="shared" si="423"/>
        <v>672.08699999999999</v>
      </c>
      <c r="DC512" t="s">
        <v>3</v>
      </c>
      <c r="DD512" t="s">
        <v>3</v>
      </c>
      <c r="DE512" t="s">
        <v>3</v>
      </c>
      <c r="DF512" t="s">
        <v>3</v>
      </c>
      <c r="DG512" t="s">
        <v>3</v>
      </c>
      <c r="DH512" t="s">
        <v>3</v>
      </c>
      <c r="DI512" t="s">
        <v>3</v>
      </c>
      <c r="DJ512" t="s">
        <v>3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39</v>
      </c>
      <c r="DW512" t="s">
        <v>39</v>
      </c>
      <c r="DX512">
        <v>1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21</v>
      </c>
      <c r="EH512">
        <v>0</v>
      </c>
      <c r="EI512" t="s">
        <v>3</v>
      </c>
      <c r="EJ512">
        <v>4</v>
      </c>
      <c r="EK512">
        <v>0</v>
      </c>
      <c r="EL512" t="s">
        <v>22</v>
      </c>
      <c r="EM512" t="s">
        <v>23</v>
      </c>
      <c r="EO512" t="s">
        <v>3</v>
      </c>
      <c r="EQ512">
        <v>1024</v>
      </c>
      <c r="ER512">
        <v>180.59</v>
      </c>
      <c r="ES512">
        <v>8.26</v>
      </c>
      <c r="ET512">
        <v>0</v>
      </c>
      <c r="EU512">
        <v>0</v>
      </c>
      <c r="EV512">
        <v>172.33</v>
      </c>
      <c r="EW512">
        <v>0.34</v>
      </c>
      <c r="EX512">
        <v>0</v>
      </c>
      <c r="EY512">
        <v>0</v>
      </c>
      <c r="FQ512">
        <v>0</v>
      </c>
      <c r="FR512">
        <f t="shared" si="424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771280347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425"/>
        <v>0</v>
      </c>
      <c r="GM512">
        <f t="shared" si="426"/>
        <v>12419.71</v>
      </c>
      <c r="GN512">
        <f t="shared" si="427"/>
        <v>0</v>
      </c>
      <c r="GO512">
        <f t="shared" si="428"/>
        <v>0</v>
      </c>
      <c r="GP512">
        <f t="shared" si="429"/>
        <v>12419.71</v>
      </c>
      <c r="GR512">
        <v>0</v>
      </c>
      <c r="GS512">
        <v>3</v>
      </c>
      <c r="GT512">
        <v>0</v>
      </c>
      <c r="GU512" t="s">
        <v>3</v>
      </c>
      <c r="GV512">
        <f t="shared" si="430"/>
        <v>0</v>
      </c>
      <c r="GW512">
        <v>1</v>
      </c>
      <c r="GX512">
        <f t="shared" si="431"/>
        <v>0</v>
      </c>
      <c r="HA512">
        <v>0</v>
      </c>
      <c r="HB512">
        <v>0</v>
      </c>
      <c r="HC512">
        <f t="shared" si="432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D513">
        <f>ROW(EtalonRes!A306)</f>
        <v>306</v>
      </c>
      <c r="E513" t="s">
        <v>3</v>
      </c>
      <c r="F513" t="s">
        <v>193</v>
      </c>
      <c r="G513" t="s">
        <v>194</v>
      </c>
      <c r="H513" t="s">
        <v>39</v>
      </c>
      <c r="I513">
        <v>13</v>
      </c>
      <c r="J513">
        <v>0</v>
      </c>
      <c r="K513">
        <v>13</v>
      </c>
      <c r="O513">
        <f t="shared" si="400"/>
        <v>1384.47</v>
      </c>
      <c r="P513">
        <f t="shared" si="401"/>
        <v>16.38</v>
      </c>
      <c r="Q513">
        <f t="shared" si="402"/>
        <v>0</v>
      </c>
      <c r="R513">
        <f t="shared" si="403"/>
        <v>0</v>
      </c>
      <c r="S513">
        <f t="shared" si="404"/>
        <v>1368.09</v>
      </c>
      <c r="T513">
        <f t="shared" si="405"/>
        <v>0</v>
      </c>
      <c r="U513">
        <f t="shared" si="406"/>
        <v>2.4336000000000002</v>
      </c>
      <c r="V513">
        <f t="shared" si="407"/>
        <v>0</v>
      </c>
      <c r="W513">
        <f t="shared" si="408"/>
        <v>0</v>
      </c>
      <c r="X513">
        <f t="shared" si="409"/>
        <v>957.66</v>
      </c>
      <c r="Y513">
        <f t="shared" si="410"/>
        <v>136.81</v>
      </c>
      <c r="AA513">
        <v>-1</v>
      </c>
      <c r="AB513">
        <f t="shared" si="411"/>
        <v>106.49760000000001</v>
      </c>
      <c r="AC513">
        <f>ROUND((ES513),6)</f>
        <v>1.26</v>
      </c>
      <c r="AD513">
        <f>ROUND((((ET513)-(EU513))+AE513),6)</f>
        <v>0</v>
      </c>
      <c r="AE513">
        <f>ROUND((EU513),6)</f>
        <v>0</v>
      </c>
      <c r="AF513">
        <f>ROUND(((EV513*1.04)),6)</f>
        <v>105.2376</v>
      </c>
      <c r="AG513">
        <f t="shared" si="412"/>
        <v>0</v>
      </c>
      <c r="AH513">
        <f>((EW513*1.04))</f>
        <v>0.18720000000000001</v>
      </c>
      <c r="AI513">
        <f>(EX513)</f>
        <v>0</v>
      </c>
      <c r="AJ513">
        <f t="shared" si="413"/>
        <v>0</v>
      </c>
      <c r="AK513">
        <v>102.45</v>
      </c>
      <c r="AL513">
        <v>1.26</v>
      </c>
      <c r="AM513">
        <v>0</v>
      </c>
      <c r="AN513">
        <v>0</v>
      </c>
      <c r="AO513">
        <v>101.19</v>
      </c>
      <c r="AP513">
        <v>0</v>
      </c>
      <c r="AQ513">
        <v>0.18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195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196</v>
      </c>
      <c r="CO513">
        <v>0</v>
      </c>
      <c r="CP513">
        <f t="shared" si="414"/>
        <v>1384.47</v>
      </c>
      <c r="CQ513">
        <f t="shared" si="415"/>
        <v>1.26</v>
      </c>
      <c r="CR513">
        <f>((((ET513)*BB513-(EU513)*BS513)+AE513*BS513)*AV513)</f>
        <v>0</v>
      </c>
      <c r="CS513">
        <f t="shared" si="416"/>
        <v>0</v>
      </c>
      <c r="CT513">
        <f t="shared" si="417"/>
        <v>105.2376</v>
      </c>
      <c r="CU513">
        <f t="shared" si="418"/>
        <v>0</v>
      </c>
      <c r="CV513">
        <f t="shared" si="419"/>
        <v>0.18720000000000001</v>
      </c>
      <c r="CW513">
        <f t="shared" si="420"/>
        <v>0</v>
      </c>
      <c r="CX513">
        <f t="shared" si="421"/>
        <v>0</v>
      </c>
      <c r="CY513">
        <f t="shared" si="422"/>
        <v>957.6629999999999</v>
      </c>
      <c r="CZ513">
        <f t="shared" si="423"/>
        <v>136.809</v>
      </c>
      <c r="DC513" t="s">
        <v>3</v>
      </c>
      <c r="DD513" t="s">
        <v>3</v>
      </c>
      <c r="DE513" t="s">
        <v>3</v>
      </c>
      <c r="DF513" t="s">
        <v>3</v>
      </c>
      <c r="DG513" t="s">
        <v>197</v>
      </c>
      <c r="DH513" t="s">
        <v>3</v>
      </c>
      <c r="DI513" t="s">
        <v>197</v>
      </c>
      <c r="DJ513" t="s">
        <v>3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39</v>
      </c>
      <c r="DW513" t="s">
        <v>39</v>
      </c>
      <c r="DX513">
        <v>1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21</v>
      </c>
      <c r="EH513">
        <v>0</v>
      </c>
      <c r="EI513" t="s">
        <v>3</v>
      </c>
      <c r="EJ513">
        <v>4</v>
      </c>
      <c r="EK513">
        <v>0</v>
      </c>
      <c r="EL513" t="s">
        <v>22</v>
      </c>
      <c r="EM513" t="s">
        <v>23</v>
      </c>
      <c r="EO513" t="s">
        <v>198</v>
      </c>
      <c r="EQ513">
        <v>1792</v>
      </c>
      <c r="ER513">
        <v>102.45</v>
      </c>
      <c r="ES513">
        <v>1.26</v>
      </c>
      <c r="ET513">
        <v>0</v>
      </c>
      <c r="EU513">
        <v>0</v>
      </c>
      <c r="EV513">
        <v>101.19</v>
      </c>
      <c r="EW513">
        <v>0.18</v>
      </c>
      <c r="EX513">
        <v>0</v>
      </c>
      <c r="EY513">
        <v>0</v>
      </c>
      <c r="FQ513">
        <v>0</v>
      </c>
      <c r="FR513">
        <f t="shared" si="424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-74619418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</v>
      </c>
      <c r="GL513">
        <f t="shared" si="425"/>
        <v>0</v>
      </c>
      <c r="GM513">
        <f t="shared" si="426"/>
        <v>2478.94</v>
      </c>
      <c r="GN513">
        <f t="shared" si="427"/>
        <v>0</v>
      </c>
      <c r="GO513">
        <f t="shared" si="428"/>
        <v>0</v>
      </c>
      <c r="GP513">
        <f t="shared" si="429"/>
        <v>2478.94</v>
      </c>
      <c r="GR513">
        <v>0</v>
      </c>
      <c r="GS513">
        <v>3</v>
      </c>
      <c r="GT513">
        <v>0</v>
      </c>
      <c r="GU513" t="s">
        <v>3</v>
      </c>
      <c r="GV513">
        <f t="shared" si="430"/>
        <v>0</v>
      </c>
      <c r="GW513">
        <v>1</v>
      </c>
      <c r="GX513">
        <f t="shared" si="431"/>
        <v>0</v>
      </c>
      <c r="HA513">
        <v>0</v>
      </c>
      <c r="HB513">
        <v>0</v>
      </c>
      <c r="HC513">
        <f t="shared" si="432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D514">
        <f>ROW(EtalonRes!A308)</f>
        <v>308</v>
      </c>
      <c r="E514" t="s">
        <v>292</v>
      </c>
      <c r="F514" t="s">
        <v>200</v>
      </c>
      <c r="G514" t="s">
        <v>201</v>
      </c>
      <c r="H514" t="s">
        <v>39</v>
      </c>
      <c r="I514">
        <f>ROUND((3)*1,9)</f>
        <v>3</v>
      </c>
      <c r="J514">
        <v>0</v>
      </c>
      <c r="K514">
        <f>ROUND((3)*1,9)</f>
        <v>3</v>
      </c>
      <c r="O514">
        <f t="shared" si="400"/>
        <v>528.08000000000004</v>
      </c>
      <c r="P514">
        <f t="shared" si="401"/>
        <v>1.89</v>
      </c>
      <c r="Q514">
        <f t="shared" si="402"/>
        <v>0</v>
      </c>
      <c r="R514">
        <f t="shared" si="403"/>
        <v>0</v>
      </c>
      <c r="S514">
        <f t="shared" si="404"/>
        <v>526.19000000000005</v>
      </c>
      <c r="T514">
        <f t="shared" si="405"/>
        <v>0</v>
      </c>
      <c r="U514">
        <f t="shared" si="406"/>
        <v>0.93599999999999994</v>
      </c>
      <c r="V514">
        <f t="shared" si="407"/>
        <v>0</v>
      </c>
      <c r="W514">
        <f t="shared" si="408"/>
        <v>0</v>
      </c>
      <c r="X514">
        <f t="shared" si="409"/>
        <v>368.33</v>
      </c>
      <c r="Y514">
        <f t="shared" si="410"/>
        <v>52.62</v>
      </c>
      <c r="AA514">
        <v>1471531721</v>
      </c>
      <c r="AB514">
        <f t="shared" si="411"/>
        <v>176.02600000000001</v>
      </c>
      <c r="AC514">
        <f>ROUND((ES514),6)</f>
        <v>0.63</v>
      </c>
      <c r="AD514">
        <f>ROUND((((ET514)-(EU514))+AE514),6)</f>
        <v>0</v>
      </c>
      <c r="AE514">
        <f>ROUND((EU514),6)</f>
        <v>0</v>
      </c>
      <c r="AF514">
        <f>ROUND(((EV514*1.04)),6)</f>
        <v>175.39599999999999</v>
      </c>
      <c r="AG514">
        <f t="shared" si="412"/>
        <v>0</v>
      </c>
      <c r="AH514">
        <f>((EW514*1.04))</f>
        <v>0.312</v>
      </c>
      <c r="AI514">
        <f>(EX514)</f>
        <v>0</v>
      </c>
      <c r="AJ514">
        <f t="shared" si="413"/>
        <v>0</v>
      </c>
      <c r="AK514">
        <v>169.28</v>
      </c>
      <c r="AL514">
        <v>0.63</v>
      </c>
      <c r="AM514">
        <v>0</v>
      </c>
      <c r="AN514">
        <v>0</v>
      </c>
      <c r="AO514">
        <v>168.65</v>
      </c>
      <c r="AP514">
        <v>0</v>
      </c>
      <c r="AQ514">
        <v>0.3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202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196</v>
      </c>
      <c r="CO514">
        <v>0</v>
      </c>
      <c r="CP514">
        <f t="shared" si="414"/>
        <v>528.08000000000004</v>
      </c>
      <c r="CQ514">
        <f t="shared" si="415"/>
        <v>0.63</v>
      </c>
      <c r="CR514">
        <f>((((ET514)*BB514-(EU514)*BS514)+AE514*BS514)*AV514)</f>
        <v>0</v>
      </c>
      <c r="CS514">
        <f t="shared" si="416"/>
        <v>0</v>
      </c>
      <c r="CT514">
        <f t="shared" si="417"/>
        <v>175.39599999999999</v>
      </c>
      <c r="CU514">
        <f t="shared" si="418"/>
        <v>0</v>
      </c>
      <c r="CV514">
        <f t="shared" si="419"/>
        <v>0.312</v>
      </c>
      <c r="CW514">
        <f t="shared" si="420"/>
        <v>0</v>
      </c>
      <c r="CX514">
        <f t="shared" si="421"/>
        <v>0</v>
      </c>
      <c r="CY514">
        <f t="shared" si="422"/>
        <v>368.33300000000003</v>
      </c>
      <c r="CZ514">
        <f t="shared" si="423"/>
        <v>52.619000000000007</v>
      </c>
      <c r="DC514" t="s">
        <v>3</v>
      </c>
      <c r="DD514" t="s">
        <v>3</v>
      </c>
      <c r="DE514" t="s">
        <v>3</v>
      </c>
      <c r="DF514" t="s">
        <v>3</v>
      </c>
      <c r="DG514" t="s">
        <v>197</v>
      </c>
      <c r="DH514" t="s">
        <v>3</v>
      </c>
      <c r="DI514" t="s">
        <v>197</v>
      </c>
      <c r="DJ514" t="s">
        <v>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39</v>
      </c>
      <c r="DW514" t="s">
        <v>39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21</v>
      </c>
      <c r="EH514">
        <v>0</v>
      </c>
      <c r="EI514" t="s">
        <v>3</v>
      </c>
      <c r="EJ514">
        <v>4</v>
      </c>
      <c r="EK514">
        <v>0</v>
      </c>
      <c r="EL514" t="s">
        <v>22</v>
      </c>
      <c r="EM514" t="s">
        <v>23</v>
      </c>
      <c r="EO514" t="s">
        <v>198</v>
      </c>
      <c r="EQ514">
        <v>768</v>
      </c>
      <c r="ER514">
        <v>169.28</v>
      </c>
      <c r="ES514">
        <v>0.63</v>
      </c>
      <c r="ET514">
        <v>0</v>
      </c>
      <c r="EU514">
        <v>0</v>
      </c>
      <c r="EV514">
        <v>168.65</v>
      </c>
      <c r="EW514">
        <v>0.3</v>
      </c>
      <c r="EX514">
        <v>0</v>
      </c>
      <c r="EY514">
        <v>0</v>
      </c>
      <c r="FQ514">
        <v>0</v>
      </c>
      <c r="FR514">
        <f t="shared" si="424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192004803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</v>
      </c>
      <c r="GL514">
        <f t="shared" si="425"/>
        <v>0</v>
      </c>
      <c r="GM514">
        <f t="shared" si="426"/>
        <v>949.03</v>
      </c>
      <c r="GN514">
        <f t="shared" si="427"/>
        <v>0</v>
      </c>
      <c r="GO514">
        <f t="shared" si="428"/>
        <v>0</v>
      </c>
      <c r="GP514">
        <f t="shared" si="429"/>
        <v>949.03</v>
      </c>
      <c r="GR514">
        <v>0</v>
      </c>
      <c r="GS514">
        <v>3</v>
      </c>
      <c r="GT514">
        <v>0</v>
      </c>
      <c r="GU514" t="s">
        <v>3</v>
      </c>
      <c r="GV514">
        <f t="shared" si="430"/>
        <v>0</v>
      </c>
      <c r="GW514">
        <v>1</v>
      </c>
      <c r="GX514">
        <f t="shared" si="431"/>
        <v>0</v>
      </c>
      <c r="HA514">
        <v>0</v>
      </c>
      <c r="HB514">
        <v>0</v>
      </c>
      <c r="HC514">
        <f t="shared" si="432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D515">
        <f>ROW(EtalonRes!A310)</f>
        <v>310</v>
      </c>
      <c r="E515" t="s">
        <v>293</v>
      </c>
      <c r="F515" t="s">
        <v>204</v>
      </c>
      <c r="G515" t="s">
        <v>205</v>
      </c>
      <c r="H515" t="s">
        <v>39</v>
      </c>
      <c r="I515">
        <f>ROUND(3*1,9)</f>
        <v>3</v>
      </c>
      <c r="J515">
        <v>0</v>
      </c>
      <c r="K515">
        <f>ROUND(3*1,9)</f>
        <v>3</v>
      </c>
      <c r="O515">
        <f t="shared" si="400"/>
        <v>705.37</v>
      </c>
      <c r="P515">
        <f t="shared" si="401"/>
        <v>3.78</v>
      </c>
      <c r="Q515">
        <f t="shared" si="402"/>
        <v>0</v>
      </c>
      <c r="R515">
        <f t="shared" si="403"/>
        <v>0</v>
      </c>
      <c r="S515">
        <f t="shared" si="404"/>
        <v>701.59</v>
      </c>
      <c r="T515">
        <f t="shared" si="405"/>
        <v>0</v>
      </c>
      <c r="U515">
        <f t="shared" si="406"/>
        <v>1.2480000000000002</v>
      </c>
      <c r="V515">
        <f t="shared" si="407"/>
        <v>0</v>
      </c>
      <c r="W515">
        <f t="shared" si="408"/>
        <v>0</v>
      </c>
      <c r="X515">
        <f t="shared" si="409"/>
        <v>491.11</v>
      </c>
      <c r="Y515">
        <f t="shared" si="410"/>
        <v>70.16</v>
      </c>
      <c r="AA515">
        <v>1471531721</v>
      </c>
      <c r="AB515">
        <f t="shared" si="411"/>
        <v>235.12479999999999</v>
      </c>
      <c r="AC515">
        <f>ROUND((ES515),6)</f>
        <v>1.26</v>
      </c>
      <c r="AD515">
        <f>ROUND((((ET515)-(EU515))+AE515),6)</f>
        <v>0</v>
      </c>
      <c r="AE515">
        <f>ROUND((EU515),6)</f>
        <v>0</v>
      </c>
      <c r="AF515">
        <f>ROUND(((EV515*1.04)),6)</f>
        <v>233.8648</v>
      </c>
      <c r="AG515">
        <f t="shared" si="412"/>
        <v>0</v>
      </c>
      <c r="AH515">
        <f>((EW515*1.04))</f>
        <v>0.41600000000000004</v>
      </c>
      <c r="AI515">
        <f>(EX515)</f>
        <v>0</v>
      </c>
      <c r="AJ515">
        <f t="shared" si="413"/>
        <v>0</v>
      </c>
      <c r="AK515">
        <v>226.13</v>
      </c>
      <c r="AL515">
        <v>1.26</v>
      </c>
      <c r="AM515">
        <v>0</v>
      </c>
      <c r="AN515">
        <v>0</v>
      </c>
      <c r="AO515">
        <v>224.87</v>
      </c>
      <c r="AP515">
        <v>0</v>
      </c>
      <c r="AQ515">
        <v>0.4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206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196</v>
      </c>
      <c r="CO515">
        <v>0</v>
      </c>
      <c r="CP515">
        <f t="shared" si="414"/>
        <v>705.37</v>
      </c>
      <c r="CQ515">
        <f t="shared" si="415"/>
        <v>1.26</v>
      </c>
      <c r="CR515">
        <f>((((ET515)*BB515-(EU515)*BS515)+AE515*BS515)*AV515)</f>
        <v>0</v>
      </c>
      <c r="CS515">
        <f t="shared" si="416"/>
        <v>0</v>
      </c>
      <c r="CT515">
        <f t="shared" si="417"/>
        <v>233.8648</v>
      </c>
      <c r="CU515">
        <f t="shared" si="418"/>
        <v>0</v>
      </c>
      <c r="CV515">
        <f t="shared" si="419"/>
        <v>0.41600000000000004</v>
      </c>
      <c r="CW515">
        <f t="shared" si="420"/>
        <v>0</v>
      </c>
      <c r="CX515">
        <f t="shared" si="421"/>
        <v>0</v>
      </c>
      <c r="CY515">
        <f t="shared" si="422"/>
        <v>491.11300000000006</v>
      </c>
      <c r="CZ515">
        <f t="shared" si="423"/>
        <v>70.159000000000006</v>
      </c>
      <c r="DC515" t="s">
        <v>3</v>
      </c>
      <c r="DD515" t="s">
        <v>3</v>
      </c>
      <c r="DE515" t="s">
        <v>3</v>
      </c>
      <c r="DF515" t="s">
        <v>3</v>
      </c>
      <c r="DG515" t="s">
        <v>197</v>
      </c>
      <c r="DH515" t="s">
        <v>3</v>
      </c>
      <c r="DI515" t="s">
        <v>197</v>
      </c>
      <c r="DJ515" t="s">
        <v>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16987630</v>
      </c>
      <c r="DV515" t="s">
        <v>39</v>
      </c>
      <c r="DW515" t="s">
        <v>39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198</v>
      </c>
      <c r="EQ515">
        <v>768</v>
      </c>
      <c r="ER515">
        <v>226.13</v>
      </c>
      <c r="ES515">
        <v>1.26</v>
      </c>
      <c r="ET515">
        <v>0</v>
      </c>
      <c r="EU515">
        <v>0</v>
      </c>
      <c r="EV515">
        <v>224.87</v>
      </c>
      <c r="EW515">
        <v>0.4</v>
      </c>
      <c r="EX515">
        <v>0</v>
      </c>
      <c r="EY515">
        <v>0</v>
      </c>
      <c r="FQ515">
        <v>0</v>
      </c>
      <c r="FR515">
        <f t="shared" si="424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-1193417237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425"/>
        <v>0</v>
      </c>
      <c r="GM515">
        <f t="shared" si="426"/>
        <v>1266.6400000000001</v>
      </c>
      <c r="GN515">
        <f t="shared" si="427"/>
        <v>0</v>
      </c>
      <c r="GO515">
        <f t="shared" si="428"/>
        <v>0</v>
      </c>
      <c r="GP515">
        <f t="shared" si="429"/>
        <v>1266.6400000000001</v>
      </c>
      <c r="GR515">
        <v>0</v>
      </c>
      <c r="GS515">
        <v>3</v>
      </c>
      <c r="GT515">
        <v>0</v>
      </c>
      <c r="GU515" t="s">
        <v>3</v>
      </c>
      <c r="GV515">
        <f t="shared" si="430"/>
        <v>0</v>
      </c>
      <c r="GW515">
        <v>1</v>
      </c>
      <c r="GX515">
        <f t="shared" si="431"/>
        <v>0</v>
      </c>
      <c r="HA515">
        <v>0</v>
      </c>
      <c r="HB515">
        <v>0</v>
      </c>
      <c r="HC515">
        <f t="shared" si="432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ROW(EtalonRes!A312)</f>
        <v>312</v>
      </c>
      <c r="E516" t="s">
        <v>294</v>
      </c>
      <c r="F516" t="s">
        <v>208</v>
      </c>
      <c r="G516" t="s">
        <v>209</v>
      </c>
      <c r="H516" t="s">
        <v>39</v>
      </c>
      <c r="I516">
        <f>ROUND(3*1,9)</f>
        <v>3</v>
      </c>
      <c r="J516">
        <v>0</v>
      </c>
      <c r="K516">
        <f>ROUND(3*1,9)</f>
        <v>3</v>
      </c>
      <c r="O516">
        <f t="shared" si="400"/>
        <v>1769.04</v>
      </c>
      <c r="P516">
        <f t="shared" si="401"/>
        <v>15.12</v>
      </c>
      <c r="Q516">
        <f t="shared" si="402"/>
        <v>0</v>
      </c>
      <c r="R516">
        <f t="shared" si="403"/>
        <v>0</v>
      </c>
      <c r="S516">
        <f t="shared" si="404"/>
        <v>1753.92</v>
      </c>
      <c r="T516">
        <f t="shared" si="405"/>
        <v>0</v>
      </c>
      <c r="U516">
        <f t="shared" si="406"/>
        <v>3.12</v>
      </c>
      <c r="V516">
        <f t="shared" si="407"/>
        <v>0</v>
      </c>
      <c r="W516">
        <f t="shared" si="408"/>
        <v>0</v>
      </c>
      <c r="X516">
        <f t="shared" si="409"/>
        <v>1227.74</v>
      </c>
      <c r="Y516">
        <f t="shared" si="410"/>
        <v>175.39</v>
      </c>
      <c r="AA516">
        <v>1471531721</v>
      </c>
      <c r="AB516">
        <f t="shared" si="411"/>
        <v>589.67999999999995</v>
      </c>
      <c r="AC516">
        <f>ROUND(((ES516*4)),6)</f>
        <v>5.04</v>
      </c>
      <c r="AD516">
        <f>ROUND(((((ET516*4))-((EU516*4)))+AE516),6)</f>
        <v>0</v>
      </c>
      <c r="AE516">
        <f>ROUND(((EU516*4)),6)</f>
        <v>0</v>
      </c>
      <c r="AF516">
        <f>ROUND(((EV516*4)),6)</f>
        <v>584.64</v>
      </c>
      <c r="AG516">
        <f t="shared" si="412"/>
        <v>0</v>
      </c>
      <c r="AH516">
        <f>((EW516*4))</f>
        <v>1.04</v>
      </c>
      <c r="AI516">
        <f>((EX516*4))</f>
        <v>0</v>
      </c>
      <c r="AJ516">
        <f t="shared" si="413"/>
        <v>0</v>
      </c>
      <c r="AK516">
        <v>147.41999999999999</v>
      </c>
      <c r="AL516">
        <v>1.26</v>
      </c>
      <c r="AM516">
        <v>0</v>
      </c>
      <c r="AN516">
        <v>0</v>
      </c>
      <c r="AO516">
        <v>146.16</v>
      </c>
      <c r="AP516">
        <v>0</v>
      </c>
      <c r="AQ516">
        <v>0.26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210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14"/>
        <v>1769.04</v>
      </c>
      <c r="CQ516">
        <f t="shared" si="415"/>
        <v>5.04</v>
      </c>
      <c r="CR516">
        <f>(((((ET516*4))*BB516-((EU516*4))*BS516)+AE516*BS516)*AV516)</f>
        <v>0</v>
      </c>
      <c r="CS516">
        <f t="shared" si="416"/>
        <v>0</v>
      </c>
      <c r="CT516">
        <f t="shared" si="417"/>
        <v>584.64</v>
      </c>
      <c r="CU516">
        <f t="shared" si="418"/>
        <v>0</v>
      </c>
      <c r="CV516">
        <f t="shared" si="419"/>
        <v>1.04</v>
      </c>
      <c r="CW516">
        <f t="shared" si="420"/>
        <v>0</v>
      </c>
      <c r="CX516">
        <f t="shared" si="421"/>
        <v>0</v>
      </c>
      <c r="CY516">
        <f t="shared" si="422"/>
        <v>1227.7440000000001</v>
      </c>
      <c r="CZ516">
        <f t="shared" si="423"/>
        <v>175.392</v>
      </c>
      <c r="DC516" t="s">
        <v>3</v>
      </c>
      <c r="DD516" t="s">
        <v>57</v>
      </c>
      <c r="DE516" t="s">
        <v>57</v>
      </c>
      <c r="DF516" t="s">
        <v>57</v>
      </c>
      <c r="DG516" t="s">
        <v>57</v>
      </c>
      <c r="DH516" t="s">
        <v>3</v>
      </c>
      <c r="DI516" t="s">
        <v>57</v>
      </c>
      <c r="DJ516" t="s">
        <v>57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39</v>
      </c>
      <c r="DW516" t="s">
        <v>39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0</v>
      </c>
      <c r="ER516">
        <v>147.41999999999999</v>
      </c>
      <c r="ES516">
        <v>1.26</v>
      </c>
      <c r="ET516">
        <v>0</v>
      </c>
      <c r="EU516">
        <v>0</v>
      </c>
      <c r="EV516">
        <v>146.16</v>
      </c>
      <c r="EW516">
        <v>0.26</v>
      </c>
      <c r="EX516">
        <v>0</v>
      </c>
      <c r="EY516">
        <v>0</v>
      </c>
      <c r="FQ516">
        <v>0</v>
      </c>
      <c r="FR516">
        <f t="shared" si="424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1674503205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425"/>
        <v>0</v>
      </c>
      <c r="GM516">
        <f t="shared" si="426"/>
        <v>3172.17</v>
      </c>
      <c r="GN516">
        <f t="shared" si="427"/>
        <v>0</v>
      </c>
      <c r="GO516">
        <f t="shared" si="428"/>
        <v>0</v>
      </c>
      <c r="GP516">
        <f t="shared" si="429"/>
        <v>3172.17</v>
      </c>
      <c r="GR516">
        <v>0</v>
      </c>
      <c r="GS516">
        <v>3</v>
      </c>
      <c r="GT516">
        <v>0</v>
      </c>
      <c r="GU516" t="s">
        <v>3</v>
      </c>
      <c r="GV516">
        <f t="shared" si="430"/>
        <v>0</v>
      </c>
      <c r="GW516">
        <v>1</v>
      </c>
      <c r="GX516">
        <f t="shared" si="431"/>
        <v>0</v>
      </c>
      <c r="HA516">
        <v>0</v>
      </c>
      <c r="HB516">
        <v>0</v>
      </c>
      <c r="HC516">
        <f t="shared" si="432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ROW(EtalonRes!A313)</f>
        <v>313</v>
      </c>
      <c r="E517" t="s">
        <v>295</v>
      </c>
      <c r="F517" t="s">
        <v>212</v>
      </c>
      <c r="G517" t="s">
        <v>213</v>
      </c>
      <c r="H517" t="s">
        <v>39</v>
      </c>
      <c r="I517">
        <f>ROUND(2*1,9)</f>
        <v>2</v>
      </c>
      <c r="J517">
        <v>0</v>
      </c>
      <c r="K517">
        <f>ROUND(2*1,9)</f>
        <v>2</v>
      </c>
      <c r="O517">
        <f t="shared" si="400"/>
        <v>2432.96</v>
      </c>
      <c r="P517">
        <f t="shared" si="401"/>
        <v>0</v>
      </c>
      <c r="Q517">
        <f t="shared" si="402"/>
        <v>0</v>
      </c>
      <c r="R517">
        <f t="shared" si="403"/>
        <v>0</v>
      </c>
      <c r="S517">
        <f t="shared" si="404"/>
        <v>2432.96</v>
      </c>
      <c r="T517">
        <f t="shared" si="405"/>
        <v>0</v>
      </c>
      <c r="U517">
        <f t="shared" si="406"/>
        <v>4</v>
      </c>
      <c r="V517">
        <f t="shared" si="407"/>
        <v>0</v>
      </c>
      <c r="W517">
        <f t="shared" si="408"/>
        <v>0</v>
      </c>
      <c r="X517">
        <f t="shared" si="409"/>
        <v>1703.07</v>
      </c>
      <c r="Y517">
        <f t="shared" si="410"/>
        <v>243.3</v>
      </c>
      <c r="AA517">
        <v>1471531721</v>
      </c>
      <c r="AB517">
        <f t="shared" si="411"/>
        <v>1216.48</v>
      </c>
      <c r="AC517">
        <f>ROUND(((ES517*4)),6)</f>
        <v>0</v>
      </c>
      <c r="AD517">
        <f>ROUND(((((ET517*4))-((EU517*4)))+AE517),6)</f>
        <v>0</v>
      </c>
      <c r="AE517">
        <f>ROUND(((EU517*4)),6)</f>
        <v>0</v>
      </c>
      <c r="AF517">
        <f>ROUND(((EV517*4)),6)</f>
        <v>1216.48</v>
      </c>
      <c r="AG517">
        <f t="shared" si="412"/>
        <v>0</v>
      </c>
      <c r="AH517">
        <f>((EW517*4))</f>
        <v>2</v>
      </c>
      <c r="AI517">
        <f>((EX517*4))</f>
        <v>0</v>
      </c>
      <c r="AJ517">
        <f t="shared" si="413"/>
        <v>0</v>
      </c>
      <c r="AK517">
        <v>304.12</v>
      </c>
      <c r="AL517">
        <v>0</v>
      </c>
      <c r="AM517">
        <v>0</v>
      </c>
      <c r="AN517">
        <v>0</v>
      </c>
      <c r="AO517">
        <v>304.12</v>
      </c>
      <c r="AP517">
        <v>0</v>
      </c>
      <c r="AQ517">
        <v>0.5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214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14"/>
        <v>2432.96</v>
      </c>
      <c r="CQ517">
        <f t="shared" si="415"/>
        <v>0</v>
      </c>
      <c r="CR517">
        <f>(((((ET517*4))*BB517-((EU517*4))*BS517)+AE517*BS517)*AV517)</f>
        <v>0</v>
      </c>
      <c r="CS517">
        <f t="shared" si="416"/>
        <v>0</v>
      </c>
      <c r="CT517">
        <f t="shared" si="417"/>
        <v>1216.48</v>
      </c>
      <c r="CU517">
        <f t="shared" si="418"/>
        <v>0</v>
      </c>
      <c r="CV517">
        <f t="shared" si="419"/>
        <v>2</v>
      </c>
      <c r="CW517">
        <f t="shared" si="420"/>
        <v>0</v>
      </c>
      <c r="CX517">
        <f t="shared" si="421"/>
        <v>0</v>
      </c>
      <c r="CY517">
        <f t="shared" si="422"/>
        <v>1703.0720000000001</v>
      </c>
      <c r="CZ517">
        <f t="shared" si="423"/>
        <v>243.29599999999999</v>
      </c>
      <c r="DC517" t="s">
        <v>3</v>
      </c>
      <c r="DD517" t="s">
        <v>57</v>
      </c>
      <c r="DE517" t="s">
        <v>57</v>
      </c>
      <c r="DF517" t="s">
        <v>57</v>
      </c>
      <c r="DG517" t="s">
        <v>57</v>
      </c>
      <c r="DH517" t="s">
        <v>3</v>
      </c>
      <c r="DI517" t="s">
        <v>57</v>
      </c>
      <c r="DJ517" t="s">
        <v>57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39</v>
      </c>
      <c r="DW517" t="s">
        <v>39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304.12</v>
      </c>
      <c r="ES517">
        <v>0</v>
      </c>
      <c r="ET517">
        <v>0</v>
      </c>
      <c r="EU517">
        <v>0</v>
      </c>
      <c r="EV517">
        <v>304.12</v>
      </c>
      <c r="EW517">
        <v>0.5</v>
      </c>
      <c r="EX517">
        <v>0</v>
      </c>
      <c r="EY517">
        <v>0</v>
      </c>
      <c r="FQ517">
        <v>0</v>
      </c>
      <c r="FR517">
        <f t="shared" si="424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-964383457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425"/>
        <v>0</v>
      </c>
      <c r="GM517">
        <f t="shared" si="426"/>
        <v>4379.33</v>
      </c>
      <c r="GN517">
        <f t="shared" si="427"/>
        <v>0</v>
      </c>
      <c r="GO517">
        <f t="shared" si="428"/>
        <v>0</v>
      </c>
      <c r="GP517">
        <f t="shared" si="429"/>
        <v>4379.33</v>
      </c>
      <c r="GR517">
        <v>0</v>
      </c>
      <c r="GS517">
        <v>3</v>
      </c>
      <c r="GT517">
        <v>0</v>
      </c>
      <c r="GU517" t="s">
        <v>3</v>
      </c>
      <c r="GV517">
        <f t="shared" si="430"/>
        <v>0</v>
      </c>
      <c r="GW517">
        <v>1</v>
      </c>
      <c r="GX517">
        <f t="shared" si="431"/>
        <v>0</v>
      </c>
      <c r="HA517">
        <v>0</v>
      </c>
      <c r="HB517">
        <v>0</v>
      </c>
      <c r="HC517">
        <f t="shared" si="432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ROW(EtalonRes!A314)</f>
        <v>314</v>
      </c>
      <c r="E518" t="s">
        <v>3</v>
      </c>
      <c r="F518" t="s">
        <v>215</v>
      </c>
      <c r="G518" t="s">
        <v>216</v>
      </c>
      <c r="H518" t="s">
        <v>39</v>
      </c>
      <c r="I518">
        <f>ROUND(2*1,9)</f>
        <v>2</v>
      </c>
      <c r="J518">
        <v>0</v>
      </c>
      <c r="K518">
        <f>ROUND(2*1,9)</f>
        <v>2</v>
      </c>
      <c r="O518">
        <f t="shared" si="400"/>
        <v>2141.06</v>
      </c>
      <c r="P518">
        <f t="shared" si="401"/>
        <v>0</v>
      </c>
      <c r="Q518">
        <f t="shared" si="402"/>
        <v>0</v>
      </c>
      <c r="R518">
        <f t="shared" si="403"/>
        <v>0</v>
      </c>
      <c r="S518">
        <f t="shared" si="404"/>
        <v>2141.06</v>
      </c>
      <c r="T518">
        <f t="shared" si="405"/>
        <v>0</v>
      </c>
      <c r="U518">
        <f t="shared" si="406"/>
        <v>3.52</v>
      </c>
      <c r="V518">
        <f t="shared" si="407"/>
        <v>0</v>
      </c>
      <c r="W518">
        <f t="shared" si="408"/>
        <v>0</v>
      </c>
      <c r="X518">
        <f t="shared" si="409"/>
        <v>1498.74</v>
      </c>
      <c r="Y518">
        <f t="shared" si="410"/>
        <v>214.11</v>
      </c>
      <c r="AA518">
        <v>-1</v>
      </c>
      <c r="AB518">
        <f t="shared" si="411"/>
        <v>1070.53</v>
      </c>
      <c r="AC518">
        <f>ROUND((ES518),6)</f>
        <v>0</v>
      </c>
      <c r="AD518">
        <f>ROUND((((ET518)-(EU518))+AE518),6)</f>
        <v>0</v>
      </c>
      <c r="AE518">
        <f>ROUND((EU518),6)</f>
        <v>0</v>
      </c>
      <c r="AF518">
        <f>ROUND((EV518),6)</f>
        <v>1070.53</v>
      </c>
      <c r="AG518">
        <f t="shared" si="412"/>
        <v>0</v>
      </c>
      <c r="AH518">
        <f>(EW518)</f>
        <v>1.76</v>
      </c>
      <c r="AI518">
        <f>(EX518)</f>
        <v>0</v>
      </c>
      <c r="AJ518">
        <f t="shared" si="413"/>
        <v>0</v>
      </c>
      <c r="AK518">
        <v>1070.53</v>
      </c>
      <c r="AL518">
        <v>0</v>
      </c>
      <c r="AM518">
        <v>0</v>
      </c>
      <c r="AN518">
        <v>0</v>
      </c>
      <c r="AO518">
        <v>1070.53</v>
      </c>
      <c r="AP518">
        <v>0</v>
      </c>
      <c r="AQ518">
        <v>1.76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217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14"/>
        <v>2141.06</v>
      </c>
      <c r="CQ518">
        <f t="shared" si="415"/>
        <v>0</v>
      </c>
      <c r="CR518">
        <f>((((ET518)*BB518-(EU518)*BS518)+AE518*BS518)*AV518)</f>
        <v>0</v>
      </c>
      <c r="CS518">
        <f t="shared" si="416"/>
        <v>0</v>
      </c>
      <c r="CT518">
        <f t="shared" si="417"/>
        <v>1070.53</v>
      </c>
      <c r="CU518">
        <f t="shared" si="418"/>
        <v>0</v>
      </c>
      <c r="CV518">
        <f t="shared" si="419"/>
        <v>1.76</v>
      </c>
      <c r="CW518">
        <f t="shared" si="420"/>
        <v>0</v>
      </c>
      <c r="CX518">
        <f t="shared" si="421"/>
        <v>0</v>
      </c>
      <c r="CY518">
        <f t="shared" si="422"/>
        <v>1498.7419999999997</v>
      </c>
      <c r="CZ518">
        <f t="shared" si="423"/>
        <v>214.10599999999999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39</v>
      </c>
      <c r="DW518" t="s">
        <v>39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1311744</v>
      </c>
      <c r="ER518">
        <v>1070.53</v>
      </c>
      <c r="ES518">
        <v>0</v>
      </c>
      <c r="ET518">
        <v>0</v>
      </c>
      <c r="EU518">
        <v>0</v>
      </c>
      <c r="EV518">
        <v>1070.53</v>
      </c>
      <c r="EW518">
        <v>1.76</v>
      </c>
      <c r="EX518">
        <v>0</v>
      </c>
      <c r="EY518">
        <v>0</v>
      </c>
      <c r="FQ518">
        <v>0</v>
      </c>
      <c r="FR518">
        <f t="shared" si="424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-1392204801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425"/>
        <v>0</v>
      </c>
      <c r="GM518">
        <f t="shared" si="426"/>
        <v>3853.91</v>
      </c>
      <c r="GN518">
        <f t="shared" si="427"/>
        <v>0</v>
      </c>
      <c r="GO518">
        <f t="shared" si="428"/>
        <v>0</v>
      </c>
      <c r="GP518">
        <f t="shared" si="429"/>
        <v>3853.91</v>
      </c>
      <c r="GR518">
        <v>0</v>
      </c>
      <c r="GS518">
        <v>3</v>
      </c>
      <c r="GT518">
        <v>0</v>
      </c>
      <c r="GU518" t="s">
        <v>3</v>
      </c>
      <c r="GV518">
        <f t="shared" si="430"/>
        <v>0</v>
      </c>
      <c r="GW518">
        <v>1</v>
      </c>
      <c r="GX518">
        <f t="shared" si="431"/>
        <v>0</v>
      </c>
      <c r="HA518">
        <v>0</v>
      </c>
      <c r="HB518">
        <v>0</v>
      </c>
      <c r="HC518">
        <f t="shared" si="432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ROW(EtalonRes!A317)</f>
        <v>317</v>
      </c>
      <c r="E519" t="s">
        <v>3</v>
      </c>
      <c r="F519" t="s">
        <v>218</v>
      </c>
      <c r="G519" t="s">
        <v>219</v>
      </c>
      <c r="H519" t="s">
        <v>39</v>
      </c>
      <c r="I519">
        <f>ROUND(2*1,9)</f>
        <v>2</v>
      </c>
      <c r="J519">
        <v>0</v>
      </c>
      <c r="K519">
        <f>ROUND(2*1,9)</f>
        <v>2</v>
      </c>
      <c r="O519">
        <f t="shared" si="400"/>
        <v>4122.4399999999996</v>
      </c>
      <c r="P519">
        <f t="shared" si="401"/>
        <v>10.62</v>
      </c>
      <c r="Q519">
        <f t="shared" si="402"/>
        <v>0</v>
      </c>
      <c r="R519">
        <f t="shared" si="403"/>
        <v>0</v>
      </c>
      <c r="S519">
        <f t="shared" si="404"/>
        <v>4111.82</v>
      </c>
      <c r="T519">
        <f t="shared" si="405"/>
        <v>0</v>
      </c>
      <c r="U519">
        <f t="shared" si="406"/>
        <v>6.76</v>
      </c>
      <c r="V519">
        <f t="shared" si="407"/>
        <v>0</v>
      </c>
      <c r="W519">
        <f t="shared" si="408"/>
        <v>0</v>
      </c>
      <c r="X519">
        <f t="shared" si="409"/>
        <v>2878.27</v>
      </c>
      <c r="Y519">
        <f t="shared" si="410"/>
        <v>411.18</v>
      </c>
      <c r="AA519">
        <v>-1</v>
      </c>
      <c r="AB519">
        <f t="shared" si="411"/>
        <v>2061.2199999999998</v>
      </c>
      <c r="AC519">
        <f>ROUND((ES519),6)</f>
        <v>5.31</v>
      </c>
      <c r="AD519">
        <f>ROUND((((ET519)-(EU519))+AE519),6)</f>
        <v>0</v>
      </c>
      <c r="AE519">
        <f>ROUND((EU519),6)</f>
        <v>0</v>
      </c>
      <c r="AF519">
        <f>ROUND((EV519),6)</f>
        <v>2055.91</v>
      </c>
      <c r="AG519">
        <f t="shared" si="412"/>
        <v>0</v>
      </c>
      <c r="AH519">
        <f>(EW519)</f>
        <v>3.38</v>
      </c>
      <c r="AI519">
        <f>(EX519)</f>
        <v>0</v>
      </c>
      <c r="AJ519">
        <f t="shared" si="413"/>
        <v>0</v>
      </c>
      <c r="AK519">
        <v>2061.2199999999998</v>
      </c>
      <c r="AL519">
        <v>5.31</v>
      </c>
      <c r="AM519">
        <v>0</v>
      </c>
      <c r="AN519">
        <v>0</v>
      </c>
      <c r="AO519">
        <v>2055.91</v>
      </c>
      <c r="AP519">
        <v>0</v>
      </c>
      <c r="AQ519">
        <v>3.38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220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14"/>
        <v>4122.4399999999996</v>
      </c>
      <c r="CQ519">
        <f t="shared" si="415"/>
        <v>5.31</v>
      </c>
      <c r="CR519">
        <f>((((ET519)*BB519-(EU519)*BS519)+AE519*BS519)*AV519)</f>
        <v>0</v>
      </c>
      <c r="CS519">
        <f t="shared" si="416"/>
        <v>0</v>
      </c>
      <c r="CT519">
        <f t="shared" si="417"/>
        <v>2055.91</v>
      </c>
      <c r="CU519">
        <f t="shared" si="418"/>
        <v>0</v>
      </c>
      <c r="CV519">
        <f t="shared" si="419"/>
        <v>3.38</v>
      </c>
      <c r="CW519">
        <f t="shared" si="420"/>
        <v>0</v>
      </c>
      <c r="CX519">
        <f t="shared" si="421"/>
        <v>0</v>
      </c>
      <c r="CY519">
        <f t="shared" si="422"/>
        <v>2878.2739999999994</v>
      </c>
      <c r="CZ519">
        <f t="shared" si="423"/>
        <v>411.18199999999996</v>
      </c>
      <c r="DC519" t="s">
        <v>3</v>
      </c>
      <c r="DD519" t="s">
        <v>3</v>
      </c>
      <c r="DE519" t="s">
        <v>3</v>
      </c>
      <c r="DF519" t="s">
        <v>3</v>
      </c>
      <c r="DG519" t="s">
        <v>3</v>
      </c>
      <c r="DH519" t="s">
        <v>3</v>
      </c>
      <c r="DI519" t="s">
        <v>3</v>
      </c>
      <c r="DJ519" t="s">
        <v>3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39</v>
      </c>
      <c r="DW519" t="s">
        <v>39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1311744</v>
      </c>
      <c r="ER519">
        <v>2061.2199999999998</v>
      </c>
      <c r="ES519">
        <v>5.31</v>
      </c>
      <c r="ET519">
        <v>0</v>
      </c>
      <c r="EU519">
        <v>0</v>
      </c>
      <c r="EV519">
        <v>2055.91</v>
      </c>
      <c r="EW519">
        <v>3.38</v>
      </c>
      <c r="EX519">
        <v>0</v>
      </c>
      <c r="EY519">
        <v>0</v>
      </c>
      <c r="FQ519">
        <v>0</v>
      </c>
      <c r="FR519">
        <f t="shared" si="424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734292325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</v>
      </c>
      <c r="GL519">
        <f t="shared" si="425"/>
        <v>0</v>
      </c>
      <c r="GM519">
        <f t="shared" si="426"/>
        <v>7411.89</v>
      </c>
      <c r="GN519">
        <f t="shared" si="427"/>
        <v>0</v>
      </c>
      <c r="GO519">
        <f t="shared" si="428"/>
        <v>0</v>
      </c>
      <c r="GP519">
        <f t="shared" si="429"/>
        <v>7411.89</v>
      </c>
      <c r="GR519">
        <v>0</v>
      </c>
      <c r="GS519">
        <v>3</v>
      </c>
      <c r="GT519">
        <v>0</v>
      </c>
      <c r="GU519" t="s">
        <v>3</v>
      </c>
      <c r="GV519">
        <f t="shared" si="430"/>
        <v>0</v>
      </c>
      <c r="GW519">
        <v>1</v>
      </c>
      <c r="GX519">
        <f t="shared" si="431"/>
        <v>0</v>
      </c>
      <c r="HA519">
        <v>0</v>
      </c>
      <c r="HB519">
        <v>0</v>
      </c>
      <c r="HC519">
        <f t="shared" si="432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ROW(EtalonRes!A320)</f>
        <v>320</v>
      </c>
      <c r="E520" t="s">
        <v>296</v>
      </c>
      <c r="F520" t="s">
        <v>222</v>
      </c>
      <c r="G520" t="s">
        <v>223</v>
      </c>
      <c r="H520" t="s">
        <v>31</v>
      </c>
      <c r="I520">
        <f>ROUND((1*1)/100,9)</f>
        <v>0.01</v>
      </c>
      <c r="J520">
        <v>0</v>
      </c>
      <c r="K520">
        <f>ROUND((1*1)/100,9)</f>
        <v>0.01</v>
      </c>
      <c r="O520">
        <f t="shared" si="400"/>
        <v>165</v>
      </c>
      <c r="P520">
        <f t="shared" si="401"/>
        <v>0.04</v>
      </c>
      <c r="Q520">
        <f t="shared" si="402"/>
        <v>36.479999999999997</v>
      </c>
      <c r="R520">
        <f t="shared" si="403"/>
        <v>23.13</v>
      </c>
      <c r="S520">
        <f t="shared" si="404"/>
        <v>128.47999999999999</v>
      </c>
      <c r="T520">
        <f t="shared" si="405"/>
        <v>0</v>
      </c>
      <c r="U520">
        <f t="shared" si="406"/>
        <v>0.24</v>
      </c>
      <c r="V520">
        <f t="shared" si="407"/>
        <v>0</v>
      </c>
      <c r="W520">
        <f t="shared" si="408"/>
        <v>0</v>
      </c>
      <c r="X520">
        <f t="shared" si="409"/>
        <v>89.94</v>
      </c>
      <c r="Y520">
        <f t="shared" si="410"/>
        <v>12.85</v>
      </c>
      <c r="AA520">
        <v>1471531721</v>
      </c>
      <c r="AB520">
        <f t="shared" si="411"/>
        <v>16499.759999999998</v>
      </c>
      <c r="AC520">
        <f>ROUND(((ES520*4)),6)</f>
        <v>3.76</v>
      </c>
      <c r="AD520">
        <f>ROUND(((((ET520*4))-((EU520*4)))+AE520),6)</f>
        <v>3648.44</v>
      </c>
      <c r="AE520">
        <f>ROUND(((EU520*4)),6)</f>
        <v>2313.36</v>
      </c>
      <c r="AF520">
        <f>ROUND(((EV520*4)),6)</f>
        <v>12847.56</v>
      </c>
      <c r="AG520">
        <f t="shared" si="412"/>
        <v>0</v>
      </c>
      <c r="AH520">
        <f>((EW520*4))</f>
        <v>24</v>
      </c>
      <c r="AI520">
        <f>((EX520*4))</f>
        <v>0</v>
      </c>
      <c r="AJ520">
        <f t="shared" si="413"/>
        <v>0</v>
      </c>
      <c r="AK520">
        <v>4124.9399999999996</v>
      </c>
      <c r="AL520">
        <v>0.94</v>
      </c>
      <c r="AM520">
        <v>912.11</v>
      </c>
      <c r="AN520">
        <v>578.34</v>
      </c>
      <c r="AO520">
        <v>3211.89</v>
      </c>
      <c r="AP520">
        <v>0</v>
      </c>
      <c r="AQ520">
        <v>6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224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14"/>
        <v>165</v>
      </c>
      <c r="CQ520">
        <f t="shared" si="415"/>
        <v>3.76</v>
      </c>
      <c r="CR520">
        <f>(((((ET520*4))*BB520-((EU520*4))*BS520)+AE520*BS520)*AV520)</f>
        <v>3648.44</v>
      </c>
      <c r="CS520">
        <f t="shared" si="416"/>
        <v>2313.36</v>
      </c>
      <c r="CT520">
        <f t="shared" si="417"/>
        <v>12847.56</v>
      </c>
      <c r="CU520">
        <f t="shared" si="418"/>
        <v>0</v>
      </c>
      <c r="CV520">
        <f t="shared" si="419"/>
        <v>24</v>
      </c>
      <c r="CW520">
        <f t="shared" si="420"/>
        <v>0</v>
      </c>
      <c r="CX520">
        <f t="shared" si="421"/>
        <v>0</v>
      </c>
      <c r="CY520">
        <f t="shared" si="422"/>
        <v>89.935999999999979</v>
      </c>
      <c r="CZ520">
        <f t="shared" si="423"/>
        <v>12.847999999999999</v>
      </c>
      <c r="DC520" t="s">
        <v>3</v>
      </c>
      <c r="DD520" t="s">
        <v>57</v>
      </c>
      <c r="DE520" t="s">
        <v>57</v>
      </c>
      <c r="DF520" t="s">
        <v>57</v>
      </c>
      <c r="DG520" t="s">
        <v>57</v>
      </c>
      <c r="DH520" t="s">
        <v>3</v>
      </c>
      <c r="DI520" t="s">
        <v>57</v>
      </c>
      <c r="DJ520" t="s">
        <v>57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31</v>
      </c>
      <c r="DW520" t="s">
        <v>31</v>
      </c>
      <c r="DX520">
        <v>100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0</v>
      </c>
      <c r="ER520">
        <v>4124.9399999999996</v>
      </c>
      <c r="ES520">
        <v>0.94</v>
      </c>
      <c r="ET520">
        <v>912.11</v>
      </c>
      <c r="EU520">
        <v>578.34</v>
      </c>
      <c r="EV520">
        <v>3211.89</v>
      </c>
      <c r="EW520">
        <v>6</v>
      </c>
      <c r="EX520">
        <v>0</v>
      </c>
      <c r="EY520">
        <v>0</v>
      </c>
      <c r="FQ520">
        <v>0</v>
      </c>
      <c r="FR520">
        <f t="shared" si="424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-121747724</v>
      </c>
      <c r="GG520">
        <v>2</v>
      </c>
      <c r="GH520">
        <v>1</v>
      </c>
      <c r="GI520">
        <v>-2</v>
      </c>
      <c r="GJ520">
        <v>0</v>
      </c>
      <c r="GK520">
        <f>ROUND(R520*(R12)/100,2)</f>
        <v>24.98</v>
      </c>
      <c r="GL520">
        <f t="shared" si="425"/>
        <v>0</v>
      </c>
      <c r="GM520">
        <f t="shared" si="426"/>
        <v>292.77</v>
      </c>
      <c r="GN520">
        <f t="shared" si="427"/>
        <v>0</v>
      </c>
      <c r="GO520">
        <f t="shared" si="428"/>
        <v>0</v>
      </c>
      <c r="GP520">
        <f t="shared" si="429"/>
        <v>292.77</v>
      </c>
      <c r="GR520">
        <v>0</v>
      </c>
      <c r="GS520">
        <v>3</v>
      </c>
      <c r="GT520">
        <v>0</v>
      </c>
      <c r="GU520" t="s">
        <v>3</v>
      </c>
      <c r="GV520">
        <f t="shared" si="430"/>
        <v>0</v>
      </c>
      <c r="GW520">
        <v>1</v>
      </c>
      <c r="GX520">
        <f t="shared" si="431"/>
        <v>0</v>
      </c>
      <c r="HA520">
        <v>0</v>
      </c>
      <c r="HB520">
        <v>0</v>
      </c>
      <c r="HC520">
        <f t="shared" si="432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ROW(EtalonRes!A322)</f>
        <v>322</v>
      </c>
      <c r="E521" t="s">
        <v>3</v>
      </c>
      <c r="F521" t="s">
        <v>225</v>
      </c>
      <c r="G521" t="s">
        <v>226</v>
      </c>
      <c r="H521" t="s">
        <v>18</v>
      </c>
      <c r="I521">
        <f>ROUND((9*1)/10,9)</f>
        <v>0.9</v>
      </c>
      <c r="J521">
        <v>0</v>
      </c>
      <c r="K521">
        <f>ROUND((9*1)/10,9)</f>
        <v>0.9</v>
      </c>
      <c r="O521">
        <f t="shared" si="400"/>
        <v>227.97</v>
      </c>
      <c r="P521">
        <f t="shared" si="401"/>
        <v>5.67</v>
      </c>
      <c r="Q521">
        <f t="shared" si="402"/>
        <v>0</v>
      </c>
      <c r="R521">
        <f t="shared" si="403"/>
        <v>0</v>
      </c>
      <c r="S521">
        <f t="shared" si="404"/>
        <v>222.3</v>
      </c>
      <c r="T521">
        <f t="shared" si="405"/>
        <v>0</v>
      </c>
      <c r="U521">
        <f t="shared" si="406"/>
        <v>0.36000000000000004</v>
      </c>
      <c r="V521">
        <f t="shared" si="407"/>
        <v>0</v>
      </c>
      <c r="W521">
        <f t="shared" si="408"/>
        <v>0</v>
      </c>
      <c r="X521">
        <f t="shared" si="409"/>
        <v>155.61000000000001</v>
      </c>
      <c r="Y521">
        <f t="shared" si="410"/>
        <v>22.23</v>
      </c>
      <c r="AA521">
        <v>-1</v>
      </c>
      <c r="AB521">
        <f t="shared" si="411"/>
        <v>253.3</v>
      </c>
      <c r="AC521">
        <f>ROUND((ES521),6)</f>
        <v>6.3</v>
      </c>
      <c r="AD521">
        <f>ROUND((((ET521)-(EU521))+AE521),6)</f>
        <v>0</v>
      </c>
      <c r="AE521">
        <f>ROUND((EU521),6)</f>
        <v>0</v>
      </c>
      <c r="AF521">
        <f>ROUND((EV521),6)</f>
        <v>247</v>
      </c>
      <c r="AG521">
        <f t="shared" si="412"/>
        <v>0</v>
      </c>
      <c r="AH521">
        <f>(EW521)</f>
        <v>0.4</v>
      </c>
      <c r="AI521">
        <f>(EX521)</f>
        <v>0</v>
      </c>
      <c r="AJ521">
        <f t="shared" si="413"/>
        <v>0</v>
      </c>
      <c r="AK521">
        <v>253.3</v>
      </c>
      <c r="AL521">
        <v>6.3</v>
      </c>
      <c r="AM521">
        <v>0</v>
      </c>
      <c r="AN521">
        <v>0</v>
      </c>
      <c r="AO521">
        <v>247</v>
      </c>
      <c r="AP521">
        <v>0</v>
      </c>
      <c r="AQ521">
        <v>0.4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227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14"/>
        <v>227.97</v>
      </c>
      <c r="CQ521">
        <f t="shared" si="415"/>
        <v>6.3</v>
      </c>
      <c r="CR521">
        <f>((((ET521)*BB521-(EU521)*BS521)+AE521*BS521)*AV521)</f>
        <v>0</v>
      </c>
      <c r="CS521">
        <f t="shared" si="416"/>
        <v>0</v>
      </c>
      <c r="CT521">
        <f t="shared" si="417"/>
        <v>247</v>
      </c>
      <c r="CU521">
        <f t="shared" si="418"/>
        <v>0</v>
      </c>
      <c r="CV521">
        <f t="shared" si="419"/>
        <v>0.4</v>
      </c>
      <c r="CW521">
        <f t="shared" si="420"/>
        <v>0</v>
      </c>
      <c r="CX521">
        <f t="shared" si="421"/>
        <v>0</v>
      </c>
      <c r="CY521">
        <f t="shared" si="422"/>
        <v>155.61000000000001</v>
      </c>
      <c r="CZ521">
        <f t="shared" si="423"/>
        <v>22.23</v>
      </c>
      <c r="DC521" t="s">
        <v>3</v>
      </c>
      <c r="DD521" t="s">
        <v>3</v>
      </c>
      <c r="DE521" t="s">
        <v>3</v>
      </c>
      <c r="DF521" t="s">
        <v>3</v>
      </c>
      <c r="DG521" t="s">
        <v>3</v>
      </c>
      <c r="DH521" t="s">
        <v>3</v>
      </c>
      <c r="DI521" t="s">
        <v>3</v>
      </c>
      <c r="DJ521" t="s">
        <v>3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18</v>
      </c>
      <c r="DW521" t="s">
        <v>18</v>
      </c>
      <c r="DX521">
        <v>10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1024</v>
      </c>
      <c r="ER521">
        <v>253.3</v>
      </c>
      <c r="ES521">
        <v>6.3</v>
      </c>
      <c r="ET521">
        <v>0</v>
      </c>
      <c r="EU521">
        <v>0</v>
      </c>
      <c r="EV521">
        <v>247</v>
      </c>
      <c r="EW521">
        <v>0.4</v>
      </c>
      <c r="EX521">
        <v>0</v>
      </c>
      <c r="EY521">
        <v>0</v>
      </c>
      <c r="FQ521">
        <v>0</v>
      </c>
      <c r="FR521">
        <f t="shared" si="424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526043079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425"/>
        <v>0</v>
      </c>
      <c r="GM521">
        <f t="shared" si="426"/>
        <v>405.81</v>
      </c>
      <c r="GN521">
        <f t="shared" si="427"/>
        <v>0</v>
      </c>
      <c r="GO521">
        <f t="shared" si="428"/>
        <v>0</v>
      </c>
      <c r="GP521">
        <f t="shared" si="429"/>
        <v>405.81</v>
      </c>
      <c r="GR521">
        <v>0</v>
      </c>
      <c r="GS521">
        <v>3</v>
      </c>
      <c r="GT521">
        <v>0</v>
      </c>
      <c r="GU521" t="s">
        <v>3</v>
      </c>
      <c r="GV521">
        <f t="shared" si="430"/>
        <v>0</v>
      </c>
      <c r="GW521">
        <v>1</v>
      </c>
      <c r="GX521">
        <f t="shared" si="431"/>
        <v>0</v>
      </c>
      <c r="HA521">
        <v>0</v>
      </c>
      <c r="HB521">
        <v>0</v>
      </c>
      <c r="HC521">
        <f t="shared" si="432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ROW(EtalonRes!A324)</f>
        <v>324</v>
      </c>
      <c r="E522" t="s">
        <v>297</v>
      </c>
      <c r="F522" t="s">
        <v>229</v>
      </c>
      <c r="G522" t="s">
        <v>230</v>
      </c>
      <c r="H522" t="s">
        <v>18</v>
      </c>
      <c r="I522">
        <f>ROUND((9*1)/10,9)</f>
        <v>0.9</v>
      </c>
      <c r="J522">
        <v>0</v>
      </c>
      <c r="K522">
        <f>ROUND((9*1)/10,9)</f>
        <v>0.9</v>
      </c>
      <c r="O522">
        <f t="shared" si="400"/>
        <v>105.71</v>
      </c>
      <c r="P522">
        <f t="shared" si="401"/>
        <v>5.67</v>
      </c>
      <c r="Q522">
        <f t="shared" si="402"/>
        <v>0</v>
      </c>
      <c r="R522">
        <f t="shared" si="403"/>
        <v>0</v>
      </c>
      <c r="S522">
        <f t="shared" si="404"/>
        <v>100.04</v>
      </c>
      <c r="T522">
        <f t="shared" si="405"/>
        <v>0</v>
      </c>
      <c r="U522">
        <f t="shared" si="406"/>
        <v>0.16200000000000001</v>
      </c>
      <c r="V522">
        <f t="shared" si="407"/>
        <v>0</v>
      </c>
      <c r="W522">
        <f t="shared" si="408"/>
        <v>0</v>
      </c>
      <c r="X522">
        <f t="shared" si="409"/>
        <v>70.03</v>
      </c>
      <c r="Y522">
        <f t="shared" si="410"/>
        <v>10</v>
      </c>
      <c r="AA522">
        <v>1471531721</v>
      </c>
      <c r="AB522">
        <f t="shared" si="411"/>
        <v>117.45</v>
      </c>
      <c r="AC522">
        <f>ROUND((ES522),6)</f>
        <v>6.3</v>
      </c>
      <c r="AD522">
        <f>ROUND((((ET522)-(EU522))+AE522),6)</f>
        <v>0</v>
      </c>
      <c r="AE522">
        <f>ROUND((EU522),6)</f>
        <v>0</v>
      </c>
      <c r="AF522">
        <f>ROUND((EV522),6)</f>
        <v>111.15</v>
      </c>
      <c r="AG522">
        <f t="shared" si="412"/>
        <v>0</v>
      </c>
      <c r="AH522">
        <f>(EW522)</f>
        <v>0.18</v>
      </c>
      <c r="AI522">
        <f>(EX522)</f>
        <v>0</v>
      </c>
      <c r="AJ522">
        <f t="shared" si="413"/>
        <v>0</v>
      </c>
      <c r="AK522">
        <v>117.45</v>
      </c>
      <c r="AL522">
        <v>6.3</v>
      </c>
      <c r="AM522">
        <v>0</v>
      </c>
      <c r="AN522">
        <v>0</v>
      </c>
      <c r="AO522">
        <v>111.15</v>
      </c>
      <c r="AP522">
        <v>0</v>
      </c>
      <c r="AQ522">
        <v>0.18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231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14"/>
        <v>105.71000000000001</v>
      </c>
      <c r="CQ522">
        <f t="shared" si="415"/>
        <v>6.3</v>
      </c>
      <c r="CR522">
        <f>((((ET522)*BB522-(EU522)*BS522)+AE522*BS522)*AV522)</f>
        <v>0</v>
      </c>
      <c r="CS522">
        <f t="shared" si="416"/>
        <v>0</v>
      </c>
      <c r="CT522">
        <f t="shared" si="417"/>
        <v>111.15</v>
      </c>
      <c r="CU522">
        <f t="shared" si="418"/>
        <v>0</v>
      </c>
      <c r="CV522">
        <f t="shared" si="419"/>
        <v>0.18</v>
      </c>
      <c r="CW522">
        <f t="shared" si="420"/>
        <v>0</v>
      </c>
      <c r="CX522">
        <f t="shared" si="421"/>
        <v>0</v>
      </c>
      <c r="CY522">
        <f t="shared" si="422"/>
        <v>70.028000000000006</v>
      </c>
      <c r="CZ522">
        <f t="shared" si="423"/>
        <v>10.004000000000001</v>
      </c>
      <c r="DC522" t="s">
        <v>3</v>
      </c>
      <c r="DD522" t="s">
        <v>3</v>
      </c>
      <c r="DE522" t="s">
        <v>3</v>
      </c>
      <c r="DF522" t="s">
        <v>3</v>
      </c>
      <c r="DG522" t="s">
        <v>3</v>
      </c>
      <c r="DH522" t="s">
        <v>3</v>
      </c>
      <c r="DI522" t="s">
        <v>3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18</v>
      </c>
      <c r="DW522" t="s">
        <v>18</v>
      </c>
      <c r="DX522">
        <v>10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0</v>
      </c>
      <c r="ER522">
        <v>117.45</v>
      </c>
      <c r="ES522">
        <v>6.3</v>
      </c>
      <c r="ET522">
        <v>0</v>
      </c>
      <c r="EU522">
        <v>0</v>
      </c>
      <c r="EV522">
        <v>111.15</v>
      </c>
      <c r="EW522">
        <v>0.18</v>
      </c>
      <c r="EX522">
        <v>0</v>
      </c>
      <c r="EY522">
        <v>0</v>
      </c>
      <c r="FQ522">
        <v>0</v>
      </c>
      <c r="FR522">
        <f t="shared" si="424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1310870617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425"/>
        <v>0</v>
      </c>
      <c r="GM522">
        <f t="shared" si="426"/>
        <v>185.74</v>
      </c>
      <c r="GN522">
        <f t="shared" si="427"/>
        <v>0</v>
      </c>
      <c r="GO522">
        <f t="shared" si="428"/>
        <v>0</v>
      </c>
      <c r="GP522">
        <f t="shared" si="429"/>
        <v>185.74</v>
      </c>
      <c r="GR522">
        <v>0</v>
      </c>
      <c r="GS522">
        <v>3</v>
      </c>
      <c r="GT522">
        <v>0</v>
      </c>
      <c r="GU522" t="s">
        <v>3</v>
      </c>
      <c r="GV522">
        <f t="shared" si="430"/>
        <v>0</v>
      </c>
      <c r="GW522">
        <v>1</v>
      </c>
      <c r="GX522">
        <f t="shared" si="431"/>
        <v>0</v>
      </c>
      <c r="HA522">
        <v>0</v>
      </c>
      <c r="HB522">
        <v>0</v>
      </c>
      <c r="HC522">
        <f t="shared" si="432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ROW(EtalonRes!A325)</f>
        <v>325</v>
      </c>
      <c r="E523" t="s">
        <v>3</v>
      </c>
      <c r="F523" t="s">
        <v>232</v>
      </c>
      <c r="G523" t="s">
        <v>233</v>
      </c>
      <c r="H523" t="s">
        <v>31</v>
      </c>
      <c r="I523">
        <f>ROUND((9*1)/100,9)</f>
        <v>0.09</v>
      </c>
      <c r="J523">
        <v>0</v>
      </c>
      <c r="K523">
        <f>ROUND((9*1)/100,9)</f>
        <v>0.09</v>
      </c>
      <c r="O523">
        <f t="shared" si="400"/>
        <v>32.840000000000003</v>
      </c>
      <c r="P523">
        <f t="shared" si="401"/>
        <v>0</v>
      </c>
      <c r="Q523">
        <f t="shared" si="402"/>
        <v>0</v>
      </c>
      <c r="R523">
        <f t="shared" si="403"/>
        <v>0</v>
      </c>
      <c r="S523">
        <f t="shared" si="404"/>
        <v>32.840000000000003</v>
      </c>
      <c r="T523">
        <f t="shared" si="405"/>
        <v>0</v>
      </c>
      <c r="U523">
        <f t="shared" si="406"/>
        <v>6.4799999999999996E-2</v>
      </c>
      <c r="V523">
        <f t="shared" si="407"/>
        <v>0</v>
      </c>
      <c r="W523">
        <f t="shared" si="408"/>
        <v>0</v>
      </c>
      <c r="X523">
        <f t="shared" si="409"/>
        <v>22.99</v>
      </c>
      <c r="Y523">
        <f t="shared" si="410"/>
        <v>3.28</v>
      </c>
      <c r="AA523">
        <v>-1</v>
      </c>
      <c r="AB523">
        <f t="shared" si="411"/>
        <v>364.92</v>
      </c>
      <c r="AC523">
        <f>ROUND(((ES523*3)),6)</f>
        <v>0</v>
      </c>
      <c r="AD523">
        <f>ROUND(((((ET523*3))-((EU523*3)))+AE523),6)</f>
        <v>0</v>
      </c>
      <c r="AE523">
        <f>ROUND(((EU523*3)),6)</f>
        <v>0</v>
      </c>
      <c r="AF523">
        <f>ROUND(((EV523*3)),6)</f>
        <v>364.92</v>
      </c>
      <c r="AG523">
        <f t="shared" si="412"/>
        <v>0</v>
      </c>
      <c r="AH523">
        <f>((EW523*3))</f>
        <v>0.72</v>
      </c>
      <c r="AI523">
        <f>((EX523*3))</f>
        <v>0</v>
      </c>
      <c r="AJ523">
        <f t="shared" si="413"/>
        <v>0</v>
      </c>
      <c r="AK523">
        <v>121.64</v>
      </c>
      <c r="AL523">
        <v>0</v>
      </c>
      <c r="AM523">
        <v>0</v>
      </c>
      <c r="AN523">
        <v>0</v>
      </c>
      <c r="AO523">
        <v>121.64</v>
      </c>
      <c r="AP523">
        <v>0</v>
      </c>
      <c r="AQ523">
        <v>0.24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234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14"/>
        <v>32.840000000000003</v>
      </c>
      <c r="CQ523">
        <f t="shared" si="415"/>
        <v>0</v>
      </c>
      <c r="CR523">
        <f>(((((ET523*3))*BB523-((EU523*3))*BS523)+AE523*BS523)*AV523)</f>
        <v>0</v>
      </c>
      <c r="CS523">
        <f t="shared" si="416"/>
        <v>0</v>
      </c>
      <c r="CT523">
        <f t="shared" si="417"/>
        <v>364.92</v>
      </c>
      <c r="CU523">
        <f t="shared" si="418"/>
        <v>0</v>
      </c>
      <c r="CV523">
        <f t="shared" si="419"/>
        <v>0.72</v>
      </c>
      <c r="CW523">
        <f t="shared" si="420"/>
        <v>0</v>
      </c>
      <c r="CX523">
        <f t="shared" si="421"/>
        <v>0</v>
      </c>
      <c r="CY523">
        <f t="shared" si="422"/>
        <v>22.988000000000003</v>
      </c>
      <c r="CZ523">
        <f t="shared" si="423"/>
        <v>3.2840000000000003</v>
      </c>
      <c r="DC523" t="s">
        <v>3</v>
      </c>
      <c r="DD523" t="s">
        <v>156</v>
      </c>
      <c r="DE523" t="s">
        <v>156</v>
      </c>
      <c r="DF523" t="s">
        <v>156</v>
      </c>
      <c r="DG523" t="s">
        <v>156</v>
      </c>
      <c r="DH523" t="s">
        <v>3</v>
      </c>
      <c r="DI523" t="s">
        <v>156</v>
      </c>
      <c r="DJ523" t="s">
        <v>156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31</v>
      </c>
      <c r="DW523" t="s">
        <v>31</v>
      </c>
      <c r="DX523">
        <v>100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1024</v>
      </c>
      <c r="ER523">
        <v>121.64</v>
      </c>
      <c r="ES523">
        <v>0</v>
      </c>
      <c r="ET523">
        <v>0</v>
      </c>
      <c r="EU523">
        <v>0</v>
      </c>
      <c r="EV523">
        <v>121.64</v>
      </c>
      <c r="EW523">
        <v>0.24</v>
      </c>
      <c r="EX523">
        <v>0</v>
      </c>
      <c r="EY523">
        <v>0</v>
      </c>
      <c r="FQ523">
        <v>0</v>
      </c>
      <c r="FR523">
        <f t="shared" si="424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1019270866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425"/>
        <v>0</v>
      </c>
      <c r="GM523">
        <f t="shared" si="426"/>
        <v>59.11</v>
      </c>
      <c r="GN523">
        <f t="shared" si="427"/>
        <v>0</v>
      </c>
      <c r="GO523">
        <f t="shared" si="428"/>
        <v>0</v>
      </c>
      <c r="GP523">
        <f t="shared" si="429"/>
        <v>59.11</v>
      </c>
      <c r="GR523">
        <v>0</v>
      </c>
      <c r="GS523">
        <v>3</v>
      </c>
      <c r="GT523">
        <v>0</v>
      </c>
      <c r="GU523" t="s">
        <v>3</v>
      </c>
      <c r="GV523">
        <f t="shared" si="430"/>
        <v>0</v>
      </c>
      <c r="GW523">
        <v>1</v>
      </c>
      <c r="GX523">
        <f t="shared" si="431"/>
        <v>0</v>
      </c>
      <c r="HA523">
        <v>0</v>
      </c>
      <c r="HB523">
        <v>0</v>
      </c>
      <c r="HC523">
        <f t="shared" si="432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ROW(EtalonRes!A327)</f>
        <v>327</v>
      </c>
      <c r="E524" t="s">
        <v>298</v>
      </c>
      <c r="F524" t="s">
        <v>236</v>
      </c>
      <c r="G524" t="s">
        <v>237</v>
      </c>
      <c r="H524" t="s">
        <v>60</v>
      </c>
      <c r="I524">
        <f>ROUND(ROUND((40*1)*0.2*0.1/100,9),9)</f>
        <v>8.0000000000000002E-3</v>
      </c>
      <c r="J524">
        <v>0</v>
      </c>
      <c r="K524">
        <f>ROUND(ROUND((40*1)*0.2*0.1/100,9),9)</f>
        <v>8.0000000000000002E-3</v>
      </c>
      <c r="O524">
        <f t="shared" si="400"/>
        <v>43.01</v>
      </c>
      <c r="P524">
        <f t="shared" si="401"/>
        <v>0.18</v>
      </c>
      <c r="Q524">
        <f t="shared" si="402"/>
        <v>0</v>
      </c>
      <c r="R524">
        <f t="shared" si="403"/>
        <v>0</v>
      </c>
      <c r="S524">
        <f t="shared" si="404"/>
        <v>42.83</v>
      </c>
      <c r="T524">
        <f t="shared" si="405"/>
        <v>0</v>
      </c>
      <c r="U524">
        <f t="shared" si="406"/>
        <v>0.08</v>
      </c>
      <c r="V524">
        <f t="shared" si="407"/>
        <v>0</v>
      </c>
      <c r="W524">
        <f t="shared" si="408"/>
        <v>0</v>
      </c>
      <c r="X524">
        <f t="shared" si="409"/>
        <v>29.98</v>
      </c>
      <c r="Y524">
        <f t="shared" si="410"/>
        <v>4.28</v>
      </c>
      <c r="AA524">
        <v>1471531721</v>
      </c>
      <c r="AB524">
        <f t="shared" si="411"/>
        <v>5375.66</v>
      </c>
      <c r="AC524">
        <f>ROUND((ES524),6)</f>
        <v>22.51</v>
      </c>
      <c r="AD524">
        <f>ROUND((((ET524)-(EU524))+AE524),6)</f>
        <v>0</v>
      </c>
      <c r="AE524">
        <f t="shared" ref="AE524:AF527" si="433">ROUND((EU524),6)</f>
        <v>0</v>
      </c>
      <c r="AF524">
        <f t="shared" si="433"/>
        <v>5353.15</v>
      </c>
      <c r="AG524">
        <f t="shared" si="412"/>
        <v>0</v>
      </c>
      <c r="AH524">
        <f t="shared" ref="AH524:AI527" si="434">(EW524)</f>
        <v>10</v>
      </c>
      <c r="AI524">
        <f t="shared" si="434"/>
        <v>0</v>
      </c>
      <c r="AJ524">
        <f t="shared" si="413"/>
        <v>0</v>
      </c>
      <c r="AK524">
        <v>5375.66</v>
      </c>
      <c r="AL524">
        <v>22.51</v>
      </c>
      <c r="AM524">
        <v>0</v>
      </c>
      <c r="AN524">
        <v>0</v>
      </c>
      <c r="AO524">
        <v>5353.15</v>
      </c>
      <c r="AP524">
        <v>0</v>
      </c>
      <c r="AQ524">
        <v>10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238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14"/>
        <v>43.01</v>
      </c>
      <c r="CQ524">
        <f t="shared" si="415"/>
        <v>22.51</v>
      </c>
      <c r="CR524">
        <f>((((ET524)*BB524-(EU524)*BS524)+AE524*BS524)*AV524)</f>
        <v>0</v>
      </c>
      <c r="CS524">
        <f t="shared" si="416"/>
        <v>0</v>
      </c>
      <c r="CT524">
        <f t="shared" si="417"/>
        <v>5353.15</v>
      </c>
      <c r="CU524">
        <f t="shared" si="418"/>
        <v>0</v>
      </c>
      <c r="CV524">
        <f t="shared" si="419"/>
        <v>10</v>
      </c>
      <c r="CW524">
        <f t="shared" si="420"/>
        <v>0</v>
      </c>
      <c r="CX524">
        <f t="shared" si="421"/>
        <v>0</v>
      </c>
      <c r="CY524">
        <f t="shared" si="422"/>
        <v>29.980999999999998</v>
      </c>
      <c r="CZ524">
        <f t="shared" si="423"/>
        <v>4.2829999999999995</v>
      </c>
      <c r="DC524" t="s">
        <v>3</v>
      </c>
      <c r="DD524" t="s">
        <v>3</v>
      </c>
      <c r="DE524" t="s">
        <v>3</v>
      </c>
      <c r="DF524" t="s">
        <v>3</v>
      </c>
      <c r="DG524" t="s">
        <v>3</v>
      </c>
      <c r="DH524" t="s">
        <v>3</v>
      </c>
      <c r="DI524" t="s">
        <v>3</v>
      </c>
      <c r="DJ524" t="s">
        <v>3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1003</v>
      </c>
      <c r="DV524" t="s">
        <v>60</v>
      </c>
      <c r="DW524" t="s">
        <v>60</v>
      </c>
      <c r="DX524">
        <v>100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0</v>
      </c>
      <c r="ER524">
        <v>5375.66</v>
      </c>
      <c r="ES524">
        <v>22.51</v>
      </c>
      <c r="ET524">
        <v>0</v>
      </c>
      <c r="EU524">
        <v>0</v>
      </c>
      <c r="EV524">
        <v>5353.15</v>
      </c>
      <c r="EW524">
        <v>10</v>
      </c>
      <c r="EX524">
        <v>0</v>
      </c>
      <c r="EY524">
        <v>0</v>
      </c>
      <c r="FQ524">
        <v>0</v>
      </c>
      <c r="FR524">
        <f t="shared" si="424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29112068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425"/>
        <v>0</v>
      </c>
      <c r="GM524">
        <f t="shared" si="426"/>
        <v>77.27</v>
      </c>
      <c r="GN524">
        <f t="shared" si="427"/>
        <v>0</v>
      </c>
      <c r="GO524">
        <f t="shared" si="428"/>
        <v>0</v>
      </c>
      <c r="GP524">
        <f t="shared" si="429"/>
        <v>77.27</v>
      </c>
      <c r="GR524">
        <v>0</v>
      </c>
      <c r="GS524">
        <v>3</v>
      </c>
      <c r="GT524">
        <v>0</v>
      </c>
      <c r="GU524" t="s">
        <v>3</v>
      </c>
      <c r="GV524">
        <f t="shared" si="430"/>
        <v>0</v>
      </c>
      <c r="GW524">
        <v>1</v>
      </c>
      <c r="GX524">
        <f t="shared" si="431"/>
        <v>0</v>
      </c>
      <c r="HA524">
        <v>0</v>
      </c>
      <c r="HB524">
        <v>0</v>
      </c>
      <c r="HC524">
        <f t="shared" si="432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ROW(EtalonRes!A328)</f>
        <v>328</v>
      </c>
      <c r="E525" t="s">
        <v>3</v>
      </c>
      <c r="F525" t="s">
        <v>239</v>
      </c>
      <c r="G525" t="s">
        <v>240</v>
      </c>
      <c r="H525" t="s">
        <v>60</v>
      </c>
      <c r="I525">
        <f>ROUND(40*0.1/100,9)</f>
        <v>0.04</v>
      </c>
      <c r="J525">
        <v>0</v>
      </c>
      <c r="K525">
        <f>ROUND(40*0.1/100,9)</f>
        <v>0.04</v>
      </c>
      <c r="O525">
        <f t="shared" si="400"/>
        <v>7.07</v>
      </c>
      <c r="P525">
        <f t="shared" si="401"/>
        <v>0</v>
      </c>
      <c r="Q525">
        <f t="shared" si="402"/>
        <v>0</v>
      </c>
      <c r="R525">
        <f t="shared" si="403"/>
        <v>0</v>
      </c>
      <c r="S525">
        <f t="shared" si="404"/>
        <v>7.07</v>
      </c>
      <c r="T525">
        <f t="shared" si="405"/>
        <v>0</v>
      </c>
      <c r="U525">
        <f t="shared" si="406"/>
        <v>1.3200000000000002E-2</v>
      </c>
      <c r="V525">
        <f t="shared" si="407"/>
        <v>0</v>
      </c>
      <c r="W525">
        <f t="shared" si="408"/>
        <v>0</v>
      </c>
      <c r="X525">
        <f t="shared" si="409"/>
        <v>4.95</v>
      </c>
      <c r="Y525">
        <f t="shared" si="410"/>
        <v>0.71</v>
      </c>
      <c r="AA525">
        <v>-1</v>
      </c>
      <c r="AB525">
        <f t="shared" si="411"/>
        <v>176.66</v>
      </c>
      <c r="AC525">
        <f>ROUND((ES525),6)</f>
        <v>0</v>
      </c>
      <c r="AD525">
        <f>ROUND((((ET525)-(EU525))+AE525),6)</f>
        <v>0</v>
      </c>
      <c r="AE525">
        <f t="shared" si="433"/>
        <v>0</v>
      </c>
      <c r="AF525">
        <f t="shared" si="433"/>
        <v>176.66</v>
      </c>
      <c r="AG525">
        <f t="shared" si="412"/>
        <v>0</v>
      </c>
      <c r="AH525">
        <f t="shared" si="434"/>
        <v>0.33</v>
      </c>
      <c r="AI525">
        <f t="shared" si="434"/>
        <v>0</v>
      </c>
      <c r="AJ525">
        <f t="shared" si="413"/>
        <v>0</v>
      </c>
      <c r="AK525">
        <v>176.66</v>
      </c>
      <c r="AL525">
        <v>0</v>
      </c>
      <c r="AM525">
        <v>0</v>
      </c>
      <c r="AN525">
        <v>0</v>
      </c>
      <c r="AO525">
        <v>176.66</v>
      </c>
      <c r="AP525">
        <v>0</v>
      </c>
      <c r="AQ525">
        <v>0.33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241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14"/>
        <v>7.07</v>
      </c>
      <c r="CQ525">
        <f t="shared" si="415"/>
        <v>0</v>
      </c>
      <c r="CR525">
        <f>((((ET525)*BB525-(EU525)*BS525)+AE525*BS525)*AV525)</f>
        <v>0</v>
      </c>
      <c r="CS525">
        <f t="shared" si="416"/>
        <v>0</v>
      </c>
      <c r="CT525">
        <f t="shared" si="417"/>
        <v>176.66</v>
      </c>
      <c r="CU525">
        <f t="shared" si="418"/>
        <v>0</v>
      </c>
      <c r="CV525">
        <f t="shared" si="419"/>
        <v>0.33</v>
      </c>
      <c r="CW525">
        <f t="shared" si="420"/>
        <v>0</v>
      </c>
      <c r="CX525">
        <f t="shared" si="421"/>
        <v>0</v>
      </c>
      <c r="CY525">
        <f t="shared" si="422"/>
        <v>4.9490000000000007</v>
      </c>
      <c r="CZ525">
        <f t="shared" si="423"/>
        <v>0.70700000000000007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1003</v>
      </c>
      <c r="DV525" t="s">
        <v>60</v>
      </c>
      <c r="DW525" t="s">
        <v>60</v>
      </c>
      <c r="DX525">
        <v>100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1024</v>
      </c>
      <c r="ER525">
        <v>176.66</v>
      </c>
      <c r="ES525">
        <v>0</v>
      </c>
      <c r="ET525">
        <v>0</v>
      </c>
      <c r="EU525">
        <v>0</v>
      </c>
      <c r="EV525">
        <v>176.66</v>
      </c>
      <c r="EW525">
        <v>0.33</v>
      </c>
      <c r="EX525">
        <v>0</v>
      </c>
      <c r="EY525">
        <v>0</v>
      </c>
      <c r="FQ525">
        <v>0</v>
      </c>
      <c r="FR525">
        <f t="shared" si="424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-21109996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25"/>
        <v>0</v>
      </c>
      <c r="GM525">
        <f t="shared" si="426"/>
        <v>12.73</v>
      </c>
      <c r="GN525">
        <f t="shared" si="427"/>
        <v>0</v>
      </c>
      <c r="GO525">
        <f t="shared" si="428"/>
        <v>0</v>
      </c>
      <c r="GP525">
        <f t="shared" si="429"/>
        <v>12.73</v>
      </c>
      <c r="GR525">
        <v>0</v>
      </c>
      <c r="GS525">
        <v>3</v>
      </c>
      <c r="GT525">
        <v>0</v>
      </c>
      <c r="GU525" t="s">
        <v>3</v>
      </c>
      <c r="GV525">
        <f t="shared" si="430"/>
        <v>0</v>
      </c>
      <c r="GW525">
        <v>1</v>
      </c>
      <c r="GX525">
        <f t="shared" si="431"/>
        <v>0</v>
      </c>
      <c r="HA525">
        <v>0</v>
      </c>
      <c r="HB525">
        <v>0</v>
      </c>
      <c r="HC525">
        <f t="shared" si="432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ROW(EtalonRes!A330)</f>
        <v>330</v>
      </c>
      <c r="E526" t="s">
        <v>299</v>
      </c>
      <c r="F526" t="s">
        <v>236</v>
      </c>
      <c r="G526" t="s">
        <v>243</v>
      </c>
      <c r="H526" t="s">
        <v>60</v>
      </c>
      <c r="I526">
        <f>ROUND(ROUND((30*1)*0.2*0.1/100,9),9)</f>
        <v>6.0000000000000001E-3</v>
      </c>
      <c r="J526">
        <v>0</v>
      </c>
      <c r="K526">
        <f>ROUND(ROUND((30*1)*0.2*0.1/100,9),9)</f>
        <v>6.0000000000000001E-3</v>
      </c>
      <c r="O526">
        <f t="shared" si="400"/>
        <v>32.26</v>
      </c>
      <c r="P526">
        <f t="shared" si="401"/>
        <v>0.14000000000000001</v>
      </c>
      <c r="Q526">
        <f t="shared" si="402"/>
        <v>0</v>
      </c>
      <c r="R526">
        <f t="shared" si="403"/>
        <v>0</v>
      </c>
      <c r="S526">
        <f t="shared" si="404"/>
        <v>32.119999999999997</v>
      </c>
      <c r="T526">
        <f t="shared" si="405"/>
        <v>0</v>
      </c>
      <c r="U526">
        <f t="shared" si="406"/>
        <v>0.06</v>
      </c>
      <c r="V526">
        <f t="shared" si="407"/>
        <v>0</v>
      </c>
      <c r="W526">
        <f t="shared" si="408"/>
        <v>0</v>
      </c>
      <c r="X526">
        <f t="shared" si="409"/>
        <v>22.48</v>
      </c>
      <c r="Y526">
        <f t="shared" si="410"/>
        <v>3.21</v>
      </c>
      <c r="AA526">
        <v>1471531721</v>
      </c>
      <c r="AB526">
        <f t="shared" si="411"/>
        <v>5375.66</v>
      </c>
      <c r="AC526">
        <f>ROUND((ES526),6)</f>
        <v>22.51</v>
      </c>
      <c r="AD526">
        <f>ROUND((((ET526)-(EU526))+AE526),6)</f>
        <v>0</v>
      </c>
      <c r="AE526">
        <f t="shared" si="433"/>
        <v>0</v>
      </c>
      <c r="AF526">
        <f t="shared" si="433"/>
        <v>5353.15</v>
      </c>
      <c r="AG526">
        <f t="shared" si="412"/>
        <v>0</v>
      </c>
      <c r="AH526">
        <f t="shared" si="434"/>
        <v>10</v>
      </c>
      <c r="AI526">
        <f t="shared" si="434"/>
        <v>0</v>
      </c>
      <c r="AJ526">
        <f t="shared" si="413"/>
        <v>0</v>
      </c>
      <c r="AK526">
        <v>5375.66</v>
      </c>
      <c r="AL526">
        <v>22.51</v>
      </c>
      <c r="AM526">
        <v>0</v>
      </c>
      <c r="AN526">
        <v>0</v>
      </c>
      <c r="AO526">
        <v>5353.15</v>
      </c>
      <c r="AP526">
        <v>0</v>
      </c>
      <c r="AQ526">
        <v>10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238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14"/>
        <v>32.26</v>
      </c>
      <c r="CQ526">
        <f t="shared" si="415"/>
        <v>22.51</v>
      </c>
      <c r="CR526">
        <f>((((ET526)*BB526-(EU526)*BS526)+AE526*BS526)*AV526)</f>
        <v>0</v>
      </c>
      <c r="CS526">
        <f t="shared" si="416"/>
        <v>0</v>
      </c>
      <c r="CT526">
        <f t="shared" si="417"/>
        <v>5353.15</v>
      </c>
      <c r="CU526">
        <f t="shared" si="418"/>
        <v>0</v>
      </c>
      <c r="CV526">
        <f t="shared" si="419"/>
        <v>10</v>
      </c>
      <c r="CW526">
        <f t="shared" si="420"/>
        <v>0</v>
      </c>
      <c r="CX526">
        <f t="shared" si="421"/>
        <v>0</v>
      </c>
      <c r="CY526">
        <f t="shared" si="422"/>
        <v>22.483999999999995</v>
      </c>
      <c r="CZ526">
        <f t="shared" si="423"/>
        <v>3.2119999999999997</v>
      </c>
      <c r="DC526" t="s">
        <v>3</v>
      </c>
      <c r="DD526" t="s">
        <v>3</v>
      </c>
      <c r="DE526" t="s">
        <v>3</v>
      </c>
      <c r="DF526" t="s">
        <v>3</v>
      </c>
      <c r="DG526" t="s">
        <v>3</v>
      </c>
      <c r="DH526" t="s">
        <v>3</v>
      </c>
      <c r="DI526" t="s">
        <v>3</v>
      </c>
      <c r="DJ526" t="s">
        <v>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1003</v>
      </c>
      <c r="DV526" t="s">
        <v>60</v>
      </c>
      <c r="DW526" t="s">
        <v>60</v>
      </c>
      <c r="DX526">
        <v>100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21</v>
      </c>
      <c r="EH526">
        <v>0</v>
      </c>
      <c r="EI526" t="s">
        <v>3</v>
      </c>
      <c r="EJ526">
        <v>4</v>
      </c>
      <c r="EK526">
        <v>0</v>
      </c>
      <c r="EL526" t="s">
        <v>22</v>
      </c>
      <c r="EM526" t="s">
        <v>23</v>
      </c>
      <c r="EO526" t="s">
        <v>3</v>
      </c>
      <c r="EQ526">
        <v>0</v>
      </c>
      <c r="ER526">
        <v>5375.66</v>
      </c>
      <c r="ES526">
        <v>22.51</v>
      </c>
      <c r="ET526">
        <v>0</v>
      </c>
      <c r="EU526">
        <v>0</v>
      </c>
      <c r="EV526">
        <v>5353.15</v>
      </c>
      <c r="EW526">
        <v>10</v>
      </c>
      <c r="EX526">
        <v>0</v>
      </c>
      <c r="EY526">
        <v>0</v>
      </c>
      <c r="FQ526">
        <v>0</v>
      </c>
      <c r="FR526">
        <f t="shared" si="424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409781007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25"/>
        <v>0</v>
      </c>
      <c r="GM526">
        <f t="shared" si="426"/>
        <v>57.95</v>
      </c>
      <c r="GN526">
        <f t="shared" si="427"/>
        <v>0</v>
      </c>
      <c r="GO526">
        <f t="shared" si="428"/>
        <v>0</v>
      </c>
      <c r="GP526">
        <f t="shared" si="429"/>
        <v>57.95</v>
      </c>
      <c r="GR526">
        <v>0</v>
      </c>
      <c r="GS526">
        <v>3</v>
      </c>
      <c r="GT526">
        <v>0</v>
      </c>
      <c r="GU526" t="s">
        <v>3</v>
      </c>
      <c r="GV526">
        <f t="shared" si="430"/>
        <v>0</v>
      </c>
      <c r="GW526">
        <v>1</v>
      </c>
      <c r="GX526">
        <f t="shared" si="431"/>
        <v>0</v>
      </c>
      <c r="HA526">
        <v>0</v>
      </c>
      <c r="HB526">
        <v>0</v>
      </c>
      <c r="HC526">
        <f t="shared" si="432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ROW(EtalonRes!A331)</f>
        <v>331</v>
      </c>
      <c r="E527" t="s">
        <v>3</v>
      </c>
      <c r="F527" t="s">
        <v>239</v>
      </c>
      <c r="G527" t="s">
        <v>244</v>
      </c>
      <c r="H527" t="s">
        <v>60</v>
      </c>
      <c r="I527">
        <f>ROUND((30*1)*0.1/100,9)</f>
        <v>0.03</v>
      </c>
      <c r="J527">
        <v>0</v>
      </c>
      <c r="K527">
        <f>ROUND((30*1)*0.1/100,9)</f>
        <v>0.03</v>
      </c>
      <c r="O527">
        <f t="shared" si="400"/>
        <v>5.3</v>
      </c>
      <c r="P527">
        <f t="shared" si="401"/>
        <v>0</v>
      </c>
      <c r="Q527">
        <f t="shared" si="402"/>
        <v>0</v>
      </c>
      <c r="R527">
        <f t="shared" si="403"/>
        <v>0</v>
      </c>
      <c r="S527">
        <f t="shared" si="404"/>
        <v>5.3</v>
      </c>
      <c r="T527">
        <f t="shared" si="405"/>
        <v>0</v>
      </c>
      <c r="U527">
        <f t="shared" si="406"/>
        <v>9.9000000000000008E-3</v>
      </c>
      <c r="V527">
        <f t="shared" si="407"/>
        <v>0</v>
      </c>
      <c r="W527">
        <f t="shared" si="408"/>
        <v>0</v>
      </c>
      <c r="X527">
        <f t="shared" si="409"/>
        <v>3.71</v>
      </c>
      <c r="Y527">
        <f t="shared" si="410"/>
        <v>0.53</v>
      </c>
      <c r="AA527">
        <v>-1</v>
      </c>
      <c r="AB527">
        <f t="shared" si="411"/>
        <v>176.66</v>
      </c>
      <c r="AC527">
        <f>ROUND((ES527),6)</f>
        <v>0</v>
      </c>
      <c r="AD527">
        <f>ROUND((((ET527)-(EU527))+AE527),6)</f>
        <v>0</v>
      </c>
      <c r="AE527">
        <f t="shared" si="433"/>
        <v>0</v>
      </c>
      <c r="AF527">
        <f t="shared" si="433"/>
        <v>176.66</v>
      </c>
      <c r="AG527">
        <f t="shared" si="412"/>
        <v>0</v>
      </c>
      <c r="AH527">
        <f t="shared" si="434"/>
        <v>0.33</v>
      </c>
      <c r="AI527">
        <f t="shared" si="434"/>
        <v>0</v>
      </c>
      <c r="AJ527">
        <f t="shared" si="413"/>
        <v>0</v>
      </c>
      <c r="AK527">
        <v>176.66</v>
      </c>
      <c r="AL527">
        <v>0</v>
      </c>
      <c r="AM527">
        <v>0</v>
      </c>
      <c r="AN527">
        <v>0</v>
      </c>
      <c r="AO527">
        <v>176.66</v>
      </c>
      <c r="AP527">
        <v>0</v>
      </c>
      <c r="AQ527">
        <v>0.33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241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14"/>
        <v>5.3</v>
      </c>
      <c r="CQ527">
        <f t="shared" si="415"/>
        <v>0</v>
      </c>
      <c r="CR527">
        <f>((((ET527)*BB527-(EU527)*BS527)+AE527*BS527)*AV527)</f>
        <v>0</v>
      </c>
      <c r="CS527">
        <f t="shared" si="416"/>
        <v>0</v>
      </c>
      <c r="CT527">
        <f t="shared" si="417"/>
        <v>176.66</v>
      </c>
      <c r="CU527">
        <f t="shared" si="418"/>
        <v>0</v>
      </c>
      <c r="CV527">
        <f t="shared" si="419"/>
        <v>0.33</v>
      </c>
      <c r="CW527">
        <f t="shared" si="420"/>
        <v>0</v>
      </c>
      <c r="CX527">
        <f t="shared" si="421"/>
        <v>0</v>
      </c>
      <c r="CY527">
        <f t="shared" si="422"/>
        <v>3.71</v>
      </c>
      <c r="CZ527">
        <f t="shared" si="423"/>
        <v>0.53</v>
      </c>
      <c r="DC527" t="s">
        <v>3</v>
      </c>
      <c r="DD527" t="s">
        <v>3</v>
      </c>
      <c r="DE527" t="s">
        <v>3</v>
      </c>
      <c r="DF527" t="s">
        <v>3</v>
      </c>
      <c r="DG527" t="s">
        <v>3</v>
      </c>
      <c r="DH527" t="s">
        <v>3</v>
      </c>
      <c r="DI527" t="s">
        <v>3</v>
      </c>
      <c r="DJ527" t="s">
        <v>3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1003</v>
      </c>
      <c r="DV527" t="s">
        <v>60</v>
      </c>
      <c r="DW527" t="s">
        <v>60</v>
      </c>
      <c r="DX527">
        <v>100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21</v>
      </c>
      <c r="EH527">
        <v>0</v>
      </c>
      <c r="EI527" t="s">
        <v>3</v>
      </c>
      <c r="EJ527">
        <v>4</v>
      </c>
      <c r="EK527">
        <v>0</v>
      </c>
      <c r="EL527" t="s">
        <v>22</v>
      </c>
      <c r="EM527" t="s">
        <v>23</v>
      </c>
      <c r="EO527" t="s">
        <v>3</v>
      </c>
      <c r="EQ527">
        <v>1024</v>
      </c>
      <c r="ER527">
        <v>176.66</v>
      </c>
      <c r="ES527">
        <v>0</v>
      </c>
      <c r="ET527">
        <v>0</v>
      </c>
      <c r="EU527">
        <v>0</v>
      </c>
      <c r="EV527">
        <v>176.66</v>
      </c>
      <c r="EW527">
        <v>0.33</v>
      </c>
      <c r="EX527">
        <v>0</v>
      </c>
      <c r="EY527">
        <v>0</v>
      </c>
      <c r="FQ527">
        <v>0</v>
      </c>
      <c r="FR527">
        <f t="shared" si="424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-89122687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25"/>
        <v>0</v>
      </c>
      <c r="GM527">
        <f t="shared" si="426"/>
        <v>9.5399999999999991</v>
      </c>
      <c r="GN527">
        <f t="shared" si="427"/>
        <v>0</v>
      </c>
      <c r="GO527">
        <f t="shared" si="428"/>
        <v>0</v>
      </c>
      <c r="GP527">
        <f t="shared" si="429"/>
        <v>9.5399999999999991</v>
      </c>
      <c r="GR527">
        <v>0</v>
      </c>
      <c r="GS527">
        <v>3</v>
      </c>
      <c r="GT527">
        <v>0</v>
      </c>
      <c r="GU527" t="s">
        <v>3</v>
      </c>
      <c r="GV527">
        <f t="shared" si="430"/>
        <v>0</v>
      </c>
      <c r="GW527">
        <v>1</v>
      </c>
      <c r="GX527">
        <f t="shared" si="431"/>
        <v>0</v>
      </c>
      <c r="HA527">
        <v>0</v>
      </c>
      <c r="HB527">
        <v>0</v>
      </c>
      <c r="HC527">
        <f t="shared" si="432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9" spans="1:206" x14ac:dyDescent="0.2">
      <c r="A529" s="2">
        <v>51</v>
      </c>
      <c r="B529" s="2">
        <f>B499</f>
        <v>1</v>
      </c>
      <c r="C529" s="2">
        <f>A499</f>
        <v>5</v>
      </c>
      <c r="D529" s="2">
        <f>ROW(A499)</f>
        <v>499</v>
      </c>
      <c r="E529" s="2"/>
      <c r="F529" s="2" t="str">
        <f>IF(F499&lt;&gt;"",F499,"")</f>
        <v>Новый подраздел</v>
      </c>
      <c r="G529" s="2" t="str">
        <f>IF(G499&lt;&gt;"",G499,"")</f>
        <v>Электрооборудование</v>
      </c>
      <c r="H529" s="2">
        <v>0</v>
      </c>
      <c r="I529" s="2"/>
      <c r="J529" s="2"/>
      <c r="K529" s="2"/>
      <c r="L529" s="2"/>
      <c r="M529" s="2"/>
      <c r="N529" s="2"/>
      <c r="O529" s="2">
        <f t="shared" ref="O529:T529" si="435">ROUND(AB529,2)</f>
        <v>20984.48</v>
      </c>
      <c r="P529" s="2">
        <f t="shared" si="435"/>
        <v>236.75</v>
      </c>
      <c r="Q529" s="2">
        <f t="shared" si="435"/>
        <v>36.94</v>
      </c>
      <c r="R529" s="2">
        <f t="shared" si="435"/>
        <v>23.13</v>
      </c>
      <c r="S529" s="2">
        <f t="shared" si="435"/>
        <v>20710.79</v>
      </c>
      <c r="T529" s="2">
        <f t="shared" si="435"/>
        <v>0</v>
      </c>
      <c r="U529" s="2">
        <f>AH529</f>
        <v>34.126000000000005</v>
      </c>
      <c r="V529" s="2">
        <f>AI529</f>
        <v>0</v>
      </c>
      <c r="W529" s="2">
        <f>ROUND(AJ529,2)</f>
        <v>0</v>
      </c>
      <c r="X529" s="2">
        <f>ROUND(AK529,2)</f>
        <v>14497.54</v>
      </c>
      <c r="Y529" s="2">
        <f>ROUND(AL529,2)</f>
        <v>2071.08</v>
      </c>
      <c r="Z529" s="2"/>
      <c r="AA529" s="2"/>
      <c r="AB529" s="2">
        <f>ROUND(SUMIF(AA503:AA527,"=1471531721",O503:O527),2)</f>
        <v>20984.48</v>
      </c>
      <c r="AC529" s="2">
        <f>ROUND(SUMIF(AA503:AA527,"=1471531721",P503:P527),2)</f>
        <v>236.75</v>
      </c>
      <c r="AD529" s="2">
        <f>ROUND(SUMIF(AA503:AA527,"=1471531721",Q503:Q527),2)</f>
        <v>36.94</v>
      </c>
      <c r="AE529" s="2">
        <f>ROUND(SUMIF(AA503:AA527,"=1471531721",R503:R527),2)</f>
        <v>23.13</v>
      </c>
      <c r="AF529" s="2">
        <f>ROUND(SUMIF(AA503:AA527,"=1471531721",S503:S527),2)</f>
        <v>20710.79</v>
      </c>
      <c r="AG529" s="2">
        <f>ROUND(SUMIF(AA503:AA527,"=1471531721",T503:T527),2)</f>
        <v>0</v>
      </c>
      <c r="AH529" s="2">
        <f>SUMIF(AA503:AA527,"=1471531721",U503:U527)</f>
        <v>34.126000000000005</v>
      </c>
      <c r="AI529" s="2">
        <f>SUMIF(AA503:AA527,"=1471531721",V503:V527)</f>
        <v>0</v>
      </c>
      <c r="AJ529" s="2">
        <f>ROUND(SUMIF(AA503:AA527,"=1471531721",W503:W527),2)</f>
        <v>0</v>
      </c>
      <c r="AK529" s="2">
        <f>ROUND(SUMIF(AA503:AA527,"=1471531721",X503:X527),2)</f>
        <v>14497.54</v>
      </c>
      <c r="AL529" s="2">
        <f>ROUND(SUMIF(AA503:AA527,"=1471531721",Y503:Y527),2)</f>
        <v>2071.08</v>
      </c>
      <c r="AM529" s="2"/>
      <c r="AN529" s="2"/>
      <c r="AO529" s="2">
        <f t="shared" ref="AO529:BD529" si="436">ROUND(BX529,2)</f>
        <v>0</v>
      </c>
      <c r="AP529" s="2">
        <f t="shared" si="436"/>
        <v>0</v>
      </c>
      <c r="AQ529" s="2">
        <f t="shared" si="436"/>
        <v>0</v>
      </c>
      <c r="AR529" s="2">
        <f t="shared" si="436"/>
        <v>37578.080000000002</v>
      </c>
      <c r="AS529" s="2">
        <f t="shared" si="436"/>
        <v>0</v>
      </c>
      <c r="AT529" s="2">
        <f t="shared" si="436"/>
        <v>0</v>
      </c>
      <c r="AU529" s="2">
        <f t="shared" si="436"/>
        <v>37578.080000000002</v>
      </c>
      <c r="AV529" s="2">
        <f t="shared" si="436"/>
        <v>236.75</v>
      </c>
      <c r="AW529" s="2">
        <f t="shared" si="436"/>
        <v>236.75</v>
      </c>
      <c r="AX529" s="2">
        <f t="shared" si="436"/>
        <v>0</v>
      </c>
      <c r="AY529" s="2">
        <f t="shared" si="436"/>
        <v>236.75</v>
      </c>
      <c r="AZ529" s="2">
        <f t="shared" si="436"/>
        <v>0</v>
      </c>
      <c r="BA529" s="2">
        <f t="shared" si="436"/>
        <v>0</v>
      </c>
      <c r="BB529" s="2">
        <f t="shared" si="436"/>
        <v>0</v>
      </c>
      <c r="BC529" s="2">
        <f t="shared" si="436"/>
        <v>0</v>
      </c>
      <c r="BD529" s="2">
        <f t="shared" si="436"/>
        <v>0</v>
      </c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>
        <f>ROUND(SUMIF(AA503:AA527,"=1471531721",FQ503:FQ527),2)</f>
        <v>0</v>
      </c>
      <c r="BY529" s="2">
        <f>ROUND(SUMIF(AA503:AA527,"=1471531721",FR503:FR527),2)</f>
        <v>0</v>
      </c>
      <c r="BZ529" s="2">
        <f>ROUND(SUMIF(AA503:AA527,"=1471531721",GL503:GL527),2)</f>
        <v>0</v>
      </c>
      <c r="CA529" s="2">
        <f>ROUND(SUMIF(AA503:AA527,"=1471531721",GM503:GM527),2)</f>
        <v>37578.080000000002</v>
      </c>
      <c r="CB529" s="2">
        <f>ROUND(SUMIF(AA503:AA527,"=1471531721",GN503:GN527),2)</f>
        <v>0</v>
      </c>
      <c r="CC529" s="2">
        <f>ROUND(SUMIF(AA503:AA527,"=1471531721",GO503:GO527),2)</f>
        <v>0</v>
      </c>
      <c r="CD529" s="2">
        <f>ROUND(SUMIF(AA503:AA527,"=1471531721",GP503:GP527),2)</f>
        <v>37578.080000000002</v>
      </c>
      <c r="CE529" s="2">
        <f>AC529-BX529</f>
        <v>236.75</v>
      </c>
      <c r="CF529" s="2">
        <f>AC529-BY529</f>
        <v>236.75</v>
      </c>
      <c r="CG529" s="2">
        <f>BX529-BZ529</f>
        <v>0</v>
      </c>
      <c r="CH529" s="2">
        <f>AC529-BX529-BY529+BZ529</f>
        <v>236.75</v>
      </c>
      <c r="CI529" s="2">
        <f>BY529-BZ529</f>
        <v>0</v>
      </c>
      <c r="CJ529" s="2">
        <f>ROUND(SUMIF(AA503:AA527,"=1471531721",GX503:GX527),2)</f>
        <v>0</v>
      </c>
      <c r="CK529" s="2">
        <f>ROUND(SUMIF(AA503:AA527,"=1471531721",GY503:GY527),2)</f>
        <v>0</v>
      </c>
      <c r="CL529" s="2">
        <f>ROUND(SUMIF(AA503:AA527,"=1471531721",GZ503:GZ527),2)</f>
        <v>0</v>
      </c>
      <c r="CM529" s="2">
        <f>ROUND(SUMIF(AA503:AA527,"=1471531721",HD503:HD527),2)</f>
        <v>0</v>
      </c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3"/>
      <c r="DH529" s="3"/>
      <c r="DI529" s="3"/>
      <c r="DJ529" s="3"/>
      <c r="DK529" s="3"/>
      <c r="DL529" s="3"/>
      <c r="DM529" s="3"/>
      <c r="DN529" s="3"/>
      <c r="DO529" s="3"/>
      <c r="DP529" s="3"/>
      <c r="DQ529" s="3"/>
      <c r="DR529" s="3"/>
      <c r="DS529" s="3"/>
      <c r="DT529" s="3"/>
      <c r="DU529" s="3"/>
      <c r="DV529" s="3"/>
      <c r="DW529" s="3"/>
      <c r="DX529" s="3"/>
      <c r="DY529" s="3"/>
      <c r="DZ529" s="3"/>
      <c r="EA529" s="3"/>
      <c r="EB529" s="3"/>
      <c r="EC529" s="3"/>
      <c r="ED529" s="3"/>
      <c r="EE529" s="3"/>
      <c r="EF529" s="3"/>
      <c r="EG529" s="3"/>
      <c r="EH529" s="3"/>
      <c r="EI529" s="3"/>
      <c r="EJ529" s="3"/>
      <c r="EK529" s="3"/>
      <c r="EL529" s="3"/>
      <c r="EM529" s="3"/>
      <c r="EN529" s="3"/>
      <c r="EO529" s="3"/>
      <c r="EP529" s="3"/>
      <c r="EQ529" s="3"/>
      <c r="ER529" s="3"/>
      <c r="ES529" s="3"/>
      <c r="ET529" s="3"/>
      <c r="EU529" s="3"/>
      <c r="EV529" s="3"/>
      <c r="EW529" s="3"/>
      <c r="EX529" s="3"/>
      <c r="EY529" s="3"/>
      <c r="EZ529" s="3"/>
      <c r="FA529" s="3"/>
      <c r="FB529" s="3"/>
      <c r="FC529" s="3"/>
      <c r="FD529" s="3"/>
      <c r="FE529" s="3"/>
      <c r="FF529" s="3"/>
      <c r="FG529" s="3"/>
      <c r="FH529" s="3"/>
      <c r="FI529" s="3"/>
      <c r="FJ529" s="3"/>
      <c r="FK529" s="3"/>
      <c r="FL529" s="3"/>
      <c r="FM529" s="3"/>
      <c r="FN529" s="3"/>
      <c r="FO529" s="3"/>
      <c r="FP529" s="3"/>
      <c r="FQ529" s="3"/>
      <c r="FR529" s="3"/>
      <c r="FS529" s="3"/>
      <c r="FT529" s="3"/>
      <c r="FU529" s="3"/>
      <c r="FV529" s="3"/>
      <c r="FW529" s="3"/>
      <c r="FX529" s="3"/>
      <c r="FY529" s="3"/>
      <c r="FZ529" s="3"/>
      <c r="GA529" s="3"/>
      <c r="GB529" s="3"/>
      <c r="GC529" s="3"/>
      <c r="GD529" s="3"/>
      <c r="GE529" s="3"/>
      <c r="GF529" s="3"/>
      <c r="GG529" s="3"/>
      <c r="GH529" s="3"/>
      <c r="GI529" s="3"/>
      <c r="GJ529" s="3"/>
      <c r="GK529" s="3"/>
      <c r="GL529" s="3"/>
      <c r="GM529" s="3"/>
      <c r="GN529" s="3"/>
      <c r="GO529" s="3"/>
      <c r="GP529" s="3"/>
      <c r="GQ529" s="3"/>
      <c r="GR529" s="3"/>
      <c r="GS529" s="3"/>
      <c r="GT529" s="3"/>
      <c r="GU529" s="3"/>
      <c r="GV529" s="3"/>
      <c r="GW529" s="3"/>
      <c r="GX529" s="3">
        <v>0</v>
      </c>
    </row>
    <row r="531" spans="1:206" x14ac:dyDescent="0.2">
      <c r="A531" s="4">
        <v>50</v>
      </c>
      <c r="B531" s="4">
        <v>0</v>
      </c>
      <c r="C531" s="4">
        <v>0</v>
      </c>
      <c r="D531" s="4">
        <v>1</v>
      </c>
      <c r="E531" s="4">
        <v>201</v>
      </c>
      <c r="F531" s="4">
        <f>ROUND(Source!O529,O531)</f>
        <v>20984.48</v>
      </c>
      <c r="G531" s="4" t="s">
        <v>86</v>
      </c>
      <c r="H531" s="4" t="s">
        <v>87</v>
      </c>
      <c r="I531" s="4"/>
      <c r="J531" s="4"/>
      <c r="K531" s="4">
        <v>201</v>
      </c>
      <c r="L531" s="4">
        <v>1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75.27</v>
      </c>
      <c r="X531" s="4">
        <v>1</v>
      </c>
      <c r="Y531" s="4">
        <v>75.27</v>
      </c>
      <c r="Z531" s="4"/>
      <c r="AA531" s="4"/>
      <c r="AB531" s="4"/>
    </row>
    <row r="532" spans="1:206" x14ac:dyDescent="0.2">
      <c r="A532" s="4">
        <v>50</v>
      </c>
      <c r="B532" s="4">
        <v>0</v>
      </c>
      <c r="C532" s="4">
        <v>0</v>
      </c>
      <c r="D532" s="4">
        <v>1</v>
      </c>
      <c r="E532" s="4">
        <v>202</v>
      </c>
      <c r="F532" s="4">
        <f>ROUND(Source!P529,O532)</f>
        <v>236.75</v>
      </c>
      <c r="G532" s="4" t="s">
        <v>88</v>
      </c>
      <c r="H532" s="4" t="s">
        <v>89</v>
      </c>
      <c r="I532" s="4"/>
      <c r="J532" s="4"/>
      <c r="K532" s="4">
        <v>202</v>
      </c>
      <c r="L532" s="4">
        <v>2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0.32</v>
      </c>
      <c r="X532" s="4">
        <v>1</v>
      </c>
      <c r="Y532" s="4">
        <v>0.32</v>
      </c>
      <c r="Z532" s="4"/>
      <c r="AA532" s="4"/>
      <c r="AB532" s="4"/>
    </row>
    <row r="533" spans="1:206" x14ac:dyDescent="0.2">
      <c r="A533" s="4">
        <v>50</v>
      </c>
      <c r="B533" s="4">
        <v>0</v>
      </c>
      <c r="C533" s="4">
        <v>0</v>
      </c>
      <c r="D533" s="4">
        <v>1</v>
      </c>
      <c r="E533" s="4">
        <v>222</v>
      </c>
      <c r="F533" s="4">
        <f>ROUND(Source!AO529,O533)</f>
        <v>0</v>
      </c>
      <c r="G533" s="4" t="s">
        <v>90</v>
      </c>
      <c r="H533" s="4" t="s">
        <v>91</v>
      </c>
      <c r="I533" s="4"/>
      <c r="J533" s="4"/>
      <c r="K533" s="4">
        <v>222</v>
      </c>
      <c r="L533" s="4">
        <v>3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0</v>
      </c>
      <c r="X533" s="4">
        <v>1</v>
      </c>
      <c r="Y533" s="4">
        <v>0</v>
      </c>
      <c r="Z533" s="4"/>
      <c r="AA533" s="4"/>
      <c r="AB533" s="4"/>
    </row>
    <row r="534" spans="1:206" x14ac:dyDescent="0.2">
      <c r="A534" s="4">
        <v>50</v>
      </c>
      <c r="B534" s="4">
        <v>0</v>
      </c>
      <c r="C534" s="4">
        <v>0</v>
      </c>
      <c r="D534" s="4">
        <v>1</v>
      </c>
      <c r="E534" s="4">
        <v>225</v>
      </c>
      <c r="F534" s="4">
        <f>ROUND(Source!AV529,O534)</f>
        <v>236.75</v>
      </c>
      <c r="G534" s="4" t="s">
        <v>92</v>
      </c>
      <c r="H534" s="4" t="s">
        <v>93</v>
      </c>
      <c r="I534" s="4"/>
      <c r="J534" s="4"/>
      <c r="K534" s="4">
        <v>225</v>
      </c>
      <c r="L534" s="4">
        <v>4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0.32</v>
      </c>
      <c r="X534" s="4">
        <v>1</v>
      </c>
      <c r="Y534" s="4">
        <v>0.32</v>
      </c>
      <c r="Z534" s="4"/>
      <c r="AA534" s="4"/>
      <c r="AB534" s="4"/>
    </row>
    <row r="535" spans="1:206" x14ac:dyDescent="0.2">
      <c r="A535" s="4">
        <v>50</v>
      </c>
      <c r="B535" s="4">
        <v>0</v>
      </c>
      <c r="C535" s="4">
        <v>0</v>
      </c>
      <c r="D535" s="4">
        <v>1</v>
      </c>
      <c r="E535" s="4">
        <v>226</v>
      </c>
      <c r="F535" s="4">
        <f>ROUND(Source!AW529,O535)</f>
        <v>236.75</v>
      </c>
      <c r="G535" s="4" t="s">
        <v>94</v>
      </c>
      <c r="H535" s="4" t="s">
        <v>95</v>
      </c>
      <c r="I535" s="4"/>
      <c r="J535" s="4"/>
      <c r="K535" s="4">
        <v>226</v>
      </c>
      <c r="L535" s="4">
        <v>5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0.32</v>
      </c>
      <c r="X535" s="4">
        <v>1</v>
      </c>
      <c r="Y535" s="4">
        <v>0.32</v>
      </c>
      <c r="Z535" s="4"/>
      <c r="AA535" s="4"/>
      <c r="AB535" s="4"/>
    </row>
    <row r="536" spans="1:206" x14ac:dyDescent="0.2">
      <c r="A536" s="4">
        <v>50</v>
      </c>
      <c r="B536" s="4">
        <v>0</v>
      </c>
      <c r="C536" s="4">
        <v>0</v>
      </c>
      <c r="D536" s="4">
        <v>1</v>
      </c>
      <c r="E536" s="4">
        <v>227</v>
      </c>
      <c r="F536" s="4">
        <f>ROUND(Source!AX529,O536)</f>
        <v>0</v>
      </c>
      <c r="G536" s="4" t="s">
        <v>96</v>
      </c>
      <c r="H536" s="4" t="s">
        <v>97</v>
      </c>
      <c r="I536" s="4"/>
      <c r="J536" s="4"/>
      <c r="K536" s="4">
        <v>227</v>
      </c>
      <c r="L536" s="4">
        <v>6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06" x14ac:dyDescent="0.2">
      <c r="A537" s="4">
        <v>50</v>
      </c>
      <c r="B537" s="4">
        <v>0</v>
      </c>
      <c r="C537" s="4">
        <v>0</v>
      </c>
      <c r="D537" s="4">
        <v>1</v>
      </c>
      <c r="E537" s="4">
        <v>228</v>
      </c>
      <c r="F537" s="4">
        <f>ROUND(Source!AY529,O537)</f>
        <v>236.75</v>
      </c>
      <c r="G537" s="4" t="s">
        <v>98</v>
      </c>
      <c r="H537" s="4" t="s">
        <v>99</v>
      </c>
      <c r="I537" s="4"/>
      <c r="J537" s="4"/>
      <c r="K537" s="4">
        <v>228</v>
      </c>
      <c r="L537" s="4">
        <v>7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0.32</v>
      </c>
      <c r="X537" s="4">
        <v>1</v>
      </c>
      <c r="Y537" s="4">
        <v>0.32</v>
      </c>
      <c r="Z537" s="4"/>
      <c r="AA537" s="4"/>
      <c r="AB537" s="4"/>
    </row>
    <row r="538" spans="1:206" x14ac:dyDescent="0.2">
      <c r="A538" s="4">
        <v>50</v>
      </c>
      <c r="B538" s="4">
        <v>0</v>
      </c>
      <c r="C538" s="4">
        <v>0</v>
      </c>
      <c r="D538" s="4">
        <v>1</v>
      </c>
      <c r="E538" s="4">
        <v>216</v>
      </c>
      <c r="F538" s="4">
        <f>ROUND(Source!AP529,O538)</f>
        <v>0</v>
      </c>
      <c r="G538" s="4" t="s">
        <v>100</v>
      </c>
      <c r="H538" s="4" t="s">
        <v>101</v>
      </c>
      <c r="I538" s="4"/>
      <c r="J538" s="4"/>
      <c r="K538" s="4">
        <v>216</v>
      </c>
      <c r="L538" s="4">
        <v>8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06" x14ac:dyDescent="0.2">
      <c r="A539" s="4">
        <v>50</v>
      </c>
      <c r="B539" s="4">
        <v>0</v>
      </c>
      <c r="C539" s="4">
        <v>0</v>
      </c>
      <c r="D539" s="4">
        <v>1</v>
      </c>
      <c r="E539" s="4">
        <v>223</v>
      </c>
      <c r="F539" s="4">
        <f>ROUND(Source!AQ529,O539)</f>
        <v>0</v>
      </c>
      <c r="G539" s="4" t="s">
        <v>102</v>
      </c>
      <c r="H539" s="4" t="s">
        <v>103</v>
      </c>
      <c r="I539" s="4"/>
      <c r="J539" s="4"/>
      <c r="K539" s="4">
        <v>223</v>
      </c>
      <c r="L539" s="4">
        <v>9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06" x14ac:dyDescent="0.2">
      <c r="A540" s="4">
        <v>50</v>
      </c>
      <c r="B540" s="4">
        <v>0</v>
      </c>
      <c r="C540" s="4">
        <v>0</v>
      </c>
      <c r="D540" s="4">
        <v>1</v>
      </c>
      <c r="E540" s="4">
        <v>229</v>
      </c>
      <c r="F540" s="4">
        <f>ROUND(Source!AZ529,O540)</f>
        <v>0</v>
      </c>
      <c r="G540" s="4" t="s">
        <v>104</v>
      </c>
      <c r="H540" s="4" t="s">
        <v>105</v>
      </c>
      <c r="I540" s="4"/>
      <c r="J540" s="4"/>
      <c r="K540" s="4">
        <v>229</v>
      </c>
      <c r="L540" s="4">
        <v>10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06" x14ac:dyDescent="0.2">
      <c r="A541" s="4">
        <v>50</v>
      </c>
      <c r="B541" s="4">
        <v>0</v>
      </c>
      <c r="C541" s="4">
        <v>0</v>
      </c>
      <c r="D541" s="4">
        <v>1</v>
      </c>
      <c r="E541" s="4">
        <v>203</v>
      </c>
      <c r="F541" s="4">
        <f>ROUND(Source!Q529,O541)</f>
        <v>36.94</v>
      </c>
      <c r="G541" s="4" t="s">
        <v>106</v>
      </c>
      <c r="H541" s="4" t="s">
        <v>107</v>
      </c>
      <c r="I541" s="4"/>
      <c r="J541" s="4"/>
      <c r="K541" s="4">
        <v>203</v>
      </c>
      <c r="L541" s="4">
        <v>11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06" x14ac:dyDescent="0.2">
      <c r="A542" s="4">
        <v>50</v>
      </c>
      <c r="B542" s="4">
        <v>0</v>
      </c>
      <c r="C542" s="4">
        <v>0</v>
      </c>
      <c r="D542" s="4">
        <v>1</v>
      </c>
      <c r="E542" s="4">
        <v>231</v>
      </c>
      <c r="F542" s="4">
        <f>ROUND(Source!BB529,O542)</f>
        <v>0</v>
      </c>
      <c r="G542" s="4" t="s">
        <v>108</v>
      </c>
      <c r="H542" s="4" t="s">
        <v>109</v>
      </c>
      <c r="I542" s="4"/>
      <c r="J542" s="4"/>
      <c r="K542" s="4">
        <v>231</v>
      </c>
      <c r="L542" s="4">
        <v>12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06" x14ac:dyDescent="0.2">
      <c r="A543" s="4">
        <v>50</v>
      </c>
      <c r="B543" s="4">
        <v>0</v>
      </c>
      <c r="C543" s="4">
        <v>0</v>
      </c>
      <c r="D543" s="4">
        <v>1</v>
      </c>
      <c r="E543" s="4">
        <v>204</v>
      </c>
      <c r="F543" s="4">
        <f>ROUND(Source!R529,O543)</f>
        <v>23.13</v>
      </c>
      <c r="G543" s="4" t="s">
        <v>110</v>
      </c>
      <c r="H543" s="4" t="s">
        <v>111</v>
      </c>
      <c r="I543" s="4"/>
      <c r="J543" s="4"/>
      <c r="K543" s="4">
        <v>204</v>
      </c>
      <c r="L543" s="4">
        <v>13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06" x14ac:dyDescent="0.2">
      <c r="A544" s="4">
        <v>50</v>
      </c>
      <c r="B544" s="4">
        <v>0</v>
      </c>
      <c r="C544" s="4">
        <v>0</v>
      </c>
      <c r="D544" s="4">
        <v>1</v>
      </c>
      <c r="E544" s="4">
        <v>205</v>
      </c>
      <c r="F544" s="4">
        <f>ROUND(Source!S529,O544)</f>
        <v>20710.79</v>
      </c>
      <c r="G544" s="4" t="s">
        <v>112</v>
      </c>
      <c r="H544" s="4" t="s">
        <v>113</v>
      </c>
      <c r="I544" s="4"/>
      <c r="J544" s="4"/>
      <c r="K544" s="4">
        <v>205</v>
      </c>
      <c r="L544" s="4">
        <v>14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74.95</v>
      </c>
      <c r="X544" s="4">
        <v>1</v>
      </c>
      <c r="Y544" s="4">
        <v>74.95</v>
      </c>
      <c r="Z544" s="4"/>
      <c r="AA544" s="4"/>
      <c r="AB544" s="4"/>
    </row>
    <row r="545" spans="1:206" x14ac:dyDescent="0.2">
      <c r="A545" s="4">
        <v>50</v>
      </c>
      <c r="B545" s="4">
        <v>0</v>
      </c>
      <c r="C545" s="4">
        <v>0</v>
      </c>
      <c r="D545" s="4">
        <v>1</v>
      </c>
      <c r="E545" s="4">
        <v>232</v>
      </c>
      <c r="F545" s="4">
        <f>ROUND(Source!BC529,O545)</f>
        <v>0</v>
      </c>
      <c r="G545" s="4" t="s">
        <v>114</v>
      </c>
      <c r="H545" s="4" t="s">
        <v>115</v>
      </c>
      <c r="I545" s="4"/>
      <c r="J545" s="4"/>
      <c r="K545" s="4">
        <v>232</v>
      </c>
      <c r="L545" s="4">
        <v>15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06" x14ac:dyDescent="0.2">
      <c r="A546" s="4">
        <v>50</v>
      </c>
      <c r="B546" s="4">
        <v>0</v>
      </c>
      <c r="C546" s="4">
        <v>0</v>
      </c>
      <c r="D546" s="4">
        <v>1</v>
      </c>
      <c r="E546" s="4">
        <v>214</v>
      </c>
      <c r="F546" s="4">
        <f>ROUND(Source!AS529,O546)</f>
        <v>0</v>
      </c>
      <c r="G546" s="4" t="s">
        <v>116</v>
      </c>
      <c r="H546" s="4" t="s">
        <v>117</v>
      </c>
      <c r="I546" s="4"/>
      <c r="J546" s="4"/>
      <c r="K546" s="4">
        <v>214</v>
      </c>
      <c r="L546" s="4">
        <v>16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06" x14ac:dyDescent="0.2">
      <c r="A547" s="4">
        <v>50</v>
      </c>
      <c r="B547" s="4">
        <v>0</v>
      </c>
      <c r="C547" s="4">
        <v>0</v>
      </c>
      <c r="D547" s="4">
        <v>1</v>
      </c>
      <c r="E547" s="4">
        <v>215</v>
      </c>
      <c r="F547" s="4">
        <f>ROUND(Source!AT529,O547)</f>
        <v>0</v>
      </c>
      <c r="G547" s="4" t="s">
        <v>118</v>
      </c>
      <c r="H547" s="4" t="s">
        <v>119</v>
      </c>
      <c r="I547" s="4"/>
      <c r="J547" s="4"/>
      <c r="K547" s="4">
        <v>215</v>
      </c>
      <c r="L547" s="4">
        <v>17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06" x14ac:dyDescent="0.2">
      <c r="A548" s="4">
        <v>50</v>
      </c>
      <c r="B548" s="4">
        <v>0</v>
      </c>
      <c r="C548" s="4">
        <v>0</v>
      </c>
      <c r="D548" s="4">
        <v>1</v>
      </c>
      <c r="E548" s="4">
        <v>217</v>
      </c>
      <c r="F548" s="4">
        <f>ROUND(Source!AU529,O548)</f>
        <v>37578.080000000002</v>
      </c>
      <c r="G548" s="4" t="s">
        <v>120</v>
      </c>
      <c r="H548" s="4" t="s">
        <v>121</v>
      </c>
      <c r="I548" s="4"/>
      <c r="J548" s="4"/>
      <c r="K548" s="4">
        <v>217</v>
      </c>
      <c r="L548" s="4">
        <v>18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135.22</v>
      </c>
      <c r="X548" s="4">
        <v>1</v>
      </c>
      <c r="Y548" s="4">
        <v>135.22</v>
      </c>
      <c r="Z548" s="4"/>
      <c r="AA548" s="4"/>
      <c r="AB548" s="4"/>
    </row>
    <row r="549" spans="1:206" x14ac:dyDescent="0.2">
      <c r="A549" s="4">
        <v>50</v>
      </c>
      <c r="B549" s="4">
        <v>0</v>
      </c>
      <c r="C549" s="4">
        <v>0</v>
      </c>
      <c r="D549" s="4">
        <v>1</v>
      </c>
      <c r="E549" s="4">
        <v>230</v>
      </c>
      <c r="F549" s="4">
        <f>ROUND(Source!BA529,O549)</f>
        <v>0</v>
      </c>
      <c r="G549" s="4" t="s">
        <v>122</v>
      </c>
      <c r="H549" s="4" t="s">
        <v>123</v>
      </c>
      <c r="I549" s="4"/>
      <c r="J549" s="4"/>
      <c r="K549" s="4">
        <v>230</v>
      </c>
      <c r="L549" s="4">
        <v>19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06" x14ac:dyDescent="0.2">
      <c r="A550" s="4">
        <v>50</v>
      </c>
      <c r="B550" s="4">
        <v>0</v>
      </c>
      <c r="C550" s="4">
        <v>0</v>
      </c>
      <c r="D550" s="4">
        <v>1</v>
      </c>
      <c r="E550" s="4">
        <v>206</v>
      </c>
      <c r="F550" s="4">
        <f>ROUND(Source!T529,O550)</f>
        <v>0</v>
      </c>
      <c r="G550" s="4" t="s">
        <v>124</v>
      </c>
      <c r="H550" s="4" t="s">
        <v>125</v>
      </c>
      <c r="I550" s="4"/>
      <c r="J550" s="4"/>
      <c r="K550" s="4">
        <v>206</v>
      </c>
      <c r="L550" s="4">
        <v>20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206" x14ac:dyDescent="0.2">
      <c r="A551" s="4">
        <v>50</v>
      </c>
      <c r="B551" s="4">
        <v>0</v>
      </c>
      <c r="C551" s="4">
        <v>0</v>
      </c>
      <c r="D551" s="4">
        <v>1</v>
      </c>
      <c r="E551" s="4">
        <v>207</v>
      </c>
      <c r="F551" s="4">
        <f>Source!U529</f>
        <v>34.126000000000005</v>
      </c>
      <c r="G551" s="4" t="s">
        <v>126</v>
      </c>
      <c r="H551" s="4" t="s">
        <v>127</v>
      </c>
      <c r="I551" s="4"/>
      <c r="J551" s="4"/>
      <c r="K551" s="4">
        <v>207</v>
      </c>
      <c r="L551" s="4">
        <v>21</v>
      </c>
      <c r="M551" s="4">
        <v>3</v>
      </c>
      <c r="N551" s="4" t="s">
        <v>3</v>
      </c>
      <c r="O551" s="4">
        <v>-1</v>
      </c>
      <c r="P551" s="4"/>
      <c r="Q551" s="4"/>
      <c r="R551" s="4"/>
      <c r="S551" s="4"/>
      <c r="T551" s="4"/>
      <c r="U551" s="4"/>
      <c r="V551" s="4"/>
      <c r="W551" s="4">
        <v>0.14000000000000001</v>
      </c>
      <c r="X551" s="4">
        <v>1</v>
      </c>
      <c r="Y551" s="4">
        <v>0.14000000000000001</v>
      </c>
      <c r="Z551" s="4"/>
      <c r="AA551" s="4"/>
      <c r="AB551" s="4"/>
    </row>
    <row r="552" spans="1:206" x14ac:dyDescent="0.2">
      <c r="A552" s="4">
        <v>50</v>
      </c>
      <c r="B552" s="4">
        <v>0</v>
      </c>
      <c r="C552" s="4">
        <v>0</v>
      </c>
      <c r="D552" s="4">
        <v>1</v>
      </c>
      <c r="E552" s="4">
        <v>208</v>
      </c>
      <c r="F552" s="4">
        <f>Source!V529</f>
        <v>0</v>
      </c>
      <c r="G552" s="4" t="s">
        <v>128</v>
      </c>
      <c r="H552" s="4" t="s">
        <v>129</v>
      </c>
      <c r="I552" s="4"/>
      <c r="J552" s="4"/>
      <c r="K552" s="4">
        <v>208</v>
      </c>
      <c r="L552" s="4">
        <v>22</v>
      </c>
      <c r="M552" s="4">
        <v>3</v>
      </c>
      <c r="N552" s="4" t="s">
        <v>3</v>
      </c>
      <c r="O552" s="4">
        <v>-1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06" x14ac:dyDescent="0.2">
      <c r="A553" s="4">
        <v>50</v>
      </c>
      <c r="B553" s="4">
        <v>0</v>
      </c>
      <c r="C553" s="4">
        <v>0</v>
      </c>
      <c r="D553" s="4">
        <v>1</v>
      </c>
      <c r="E553" s="4">
        <v>209</v>
      </c>
      <c r="F553" s="4">
        <f>ROUND(Source!W529,O553)</f>
        <v>0</v>
      </c>
      <c r="G553" s="4" t="s">
        <v>130</v>
      </c>
      <c r="H553" s="4" t="s">
        <v>131</v>
      </c>
      <c r="I553" s="4"/>
      <c r="J553" s="4"/>
      <c r="K553" s="4">
        <v>209</v>
      </c>
      <c r="L553" s="4">
        <v>23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06" x14ac:dyDescent="0.2">
      <c r="A554" s="4">
        <v>50</v>
      </c>
      <c r="B554" s="4">
        <v>0</v>
      </c>
      <c r="C554" s="4">
        <v>0</v>
      </c>
      <c r="D554" s="4">
        <v>1</v>
      </c>
      <c r="E554" s="4">
        <v>233</v>
      </c>
      <c r="F554" s="4">
        <f>ROUND(Source!BD529,O554)</f>
        <v>0</v>
      </c>
      <c r="G554" s="4" t="s">
        <v>132</v>
      </c>
      <c r="H554" s="4" t="s">
        <v>133</v>
      </c>
      <c r="I554" s="4"/>
      <c r="J554" s="4"/>
      <c r="K554" s="4">
        <v>233</v>
      </c>
      <c r="L554" s="4">
        <v>24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06" x14ac:dyDescent="0.2">
      <c r="A555" s="4">
        <v>50</v>
      </c>
      <c r="B555" s="4">
        <v>0</v>
      </c>
      <c r="C555" s="4">
        <v>0</v>
      </c>
      <c r="D555" s="4">
        <v>1</v>
      </c>
      <c r="E555" s="4">
        <v>210</v>
      </c>
      <c r="F555" s="4">
        <f>ROUND(Source!X529,O555)</f>
        <v>14497.54</v>
      </c>
      <c r="G555" s="4" t="s">
        <v>134</v>
      </c>
      <c r="H555" s="4" t="s">
        <v>135</v>
      </c>
      <c r="I555" s="4"/>
      <c r="J555" s="4"/>
      <c r="K555" s="4">
        <v>210</v>
      </c>
      <c r="L555" s="4">
        <v>25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52.46</v>
      </c>
      <c r="X555" s="4">
        <v>1</v>
      </c>
      <c r="Y555" s="4">
        <v>52.46</v>
      </c>
      <c r="Z555" s="4"/>
      <c r="AA555" s="4"/>
      <c r="AB555" s="4"/>
    </row>
    <row r="556" spans="1:206" x14ac:dyDescent="0.2">
      <c r="A556" s="4">
        <v>50</v>
      </c>
      <c r="B556" s="4">
        <v>0</v>
      </c>
      <c r="C556" s="4">
        <v>0</v>
      </c>
      <c r="D556" s="4">
        <v>1</v>
      </c>
      <c r="E556" s="4">
        <v>211</v>
      </c>
      <c r="F556" s="4">
        <f>ROUND(Source!Y529,O556)</f>
        <v>2071.08</v>
      </c>
      <c r="G556" s="4" t="s">
        <v>136</v>
      </c>
      <c r="H556" s="4" t="s">
        <v>137</v>
      </c>
      <c r="I556" s="4"/>
      <c r="J556" s="4"/>
      <c r="K556" s="4">
        <v>211</v>
      </c>
      <c r="L556" s="4">
        <v>26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7.49</v>
      </c>
      <c r="X556" s="4">
        <v>1</v>
      </c>
      <c r="Y556" s="4">
        <v>7.49</v>
      </c>
      <c r="Z556" s="4"/>
      <c r="AA556" s="4"/>
      <c r="AB556" s="4"/>
    </row>
    <row r="557" spans="1:206" x14ac:dyDescent="0.2">
      <c r="A557" s="4">
        <v>50</v>
      </c>
      <c r="B557" s="4">
        <v>0</v>
      </c>
      <c r="C557" s="4">
        <v>0</v>
      </c>
      <c r="D557" s="4">
        <v>1</v>
      </c>
      <c r="E557" s="4">
        <v>224</v>
      </c>
      <c r="F557" s="4">
        <f>ROUND(Source!AR529,O557)</f>
        <v>37578.080000000002</v>
      </c>
      <c r="G557" s="4" t="s">
        <v>138</v>
      </c>
      <c r="H557" s="4" t="s">
        <v>139</v>
      </c>
      <c r="I557" s="4"/>
      <c r="J557" s="4"/>
      <c r="K557" s="4">
        <v>224</v>
      </c>
      <c r="L557" s="4">
        <v>27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135.22</v>
      </c>
      <c r="X557" s="4">
        <v>1</v>
      </c>
      <c r="Y557" s="4">
        <v>135.22</v>
      </c>
      <c r="Z557" s="4"/>
      <c r="AA557" s="4"/>
      <c r="AB557" s="4"/>
    </row>
    <row r="559" spans="1:206" x14ac:dyDescent="0.2">
      <c r="A559" s="2">
        <v>51</v>
      </c>
      <c r="B559" s="2">
        <f>B399</f>
        <v>1</v>
      </c>
      <c r="C559" s="2">
        <f>A399</f>
        <v>4</v>
      </c>
      <c r="D559" s="2">
        <f>ROW(A399)</f>
        <v>399</v>
      </c>
      <c r="E559" s="2"/>
      <c r="F559" s="2" t="str">
        <f>IF(F399&lt;&gt;"",F399,"")</f>
        <v>Новый раздел</v>
      </c>
      <c r="G559" s="2" t="str">
        <f>IF(G399&lt;&gt;"",G399,"")</f>
        <v>Туалетный модуль 2 кабины с сололифтами (1 шт.)</v>
      </c>
      <c r="H559" s="2">
        <v>0</v>
      </c>
      <c r="I559" s="2"/>
      <c r="J559" s="2"/>
      <c r="K559" s="2"/>
      <c r="L559" s="2"/>
      <c r="M559" s="2"/>
      <c r="N559" s="2"/>
      <c r="O559" s="2">
        <f t="shared" ref="O559:T559" si="437">ROUND(O426+O469+O529+AB559,2)</f>
        <v>46400.18</v>
      </c>
      <c r="P559" s="2">
        <f t="shared" si="437"/>
        <v>6417.58</v>
      </c>
      <c r="Q559" s="2">
        <f t="shared" si="437"/>
        <v>2102.5500000000002</v>
      </c>
      <c r="R559" s="2">
        <f t="shared" si="437"/>
        <v>1315.61</v>
      </c>
      <c r="S559" s="2">
        <f t="shared" si="437"/>
        <v>37880.050000000003</v>
      </c>
      <c r="T559" s="2">
        <f t="shared" si="437"/>
        <v>0</v>
      </c>
      <c r="U559" s="2">
        <f>U426+U469+U529+AH559</f>
        <v>61.745800000000003</v>
      </c>
      <c r="V559" s="2">
        <f>V426+V469+V529+AI559</f>
        <v>0</v>
      </c>
      <c r="W559" s="2">
        <f>ROUND(W426+W469+W529+AJ559,2)</f>
        <v>0</v>
      </c>
      <c r="X559" s="2">
        <f>ROUND(X426+X469+X529+AK559,2)</f>
        <v>26516.03</v>
      </c>
      <c r="Y559" s="2">
        <f>ROUND(Y426+Y469+Y529+AL559,2)</f>
        <v>3787.98</v>
      </c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>
        <f t="shared" ref="AO559:BD559" si="438">ROUND(AO426+AO469+AO529+BX559,2)</f>
        <v>0</v>
      </c>
      <c r="AP559" s="2">
        <f t="shared" si="438"/>
        <v>0</v>
      </c>
      <c r="AQ559" s="2">
        <f t="shared" si="438"/>
        <v>0</v>
      </c>
      <c r="AR559" s="2">
        <f t="shared" si="438"/>
        <v>78125.039999999994</v>
      </c>
      <c r="AS559" s="2">
        <f t="shared" si="438"/>
        <v>0</v>
      </c>
      <c r="AT559" s="2">
        <f t="shared" si="438"/>
        <v>0</v>
      </c>
      <c r="AU559" s="2">
        <f t="shared" si="438"/>
        <v>78125.039999999994</v>
      </c>
      <c r="AV559" s="2">
        <f t="shared" si="438"/>
        <v>6417.58</v>
      </c>
      <c r="AW559" s="2">
        <f t="shared" si="438"/>
        <v>6417.58</v>
      </c>
      <c r="AX559" s="2">
        <f t="shared" si="438"/>
        <v>0</v>
      </c>
      <c r="AY559" s="2">
        <f t="shared" si="438"/>
        <v>6417.58</v>
      </c>
      <c r="AZ559" s="2">
        <f t="shared" si="438"/>
        <v>0</v>
      </c>
      <c r="BA559" s="2">
        <f t="shared" si="438"/>
        <v>0</v>
      </c>
      <c r="BB559" s="2">
        <f t="shared" si="438"/>
        <v>0</v>
      </c>
      <c r="BC559" s="2">
        <f t="shared" si="438"/>
        <v>0</v>
      </c>
      <c r="BD559" s="2">
        <f t="shared" si="438"/>
        <v>0</v>
      </c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3"/>
      <c r="DH559" s="3"/>
      <c r="DI559" s="3"/>
      <c r="DJ559" s="3"/>
      <c r="DK559" s="3"/>
      <c r="DL559" s="3"/>
      <c r="DM559" s="3"/>
      <c r="DN559" s="3"/>
      <c r="DO559" s="3"/>
      <c r="DP559" s="3"/>
      <c r="DQ559" s="3"/>
      <c r="DR559" s="3"/>
      <c r="DS559" s="3"/>
      <c r="DT559" s="3"/>
      <c r="DU559" s="3"/>
      <c r="DV559" s="3"/>
      <c r="DW559" s="3"/>
      <c r="DX559" s="3"/>
      <c r="DY559" s="3"/>
      <c r="DZ559" s="3"/>
      <c r="EA559" s="3"/>
      <c r="EB559" s="3"/>
      <c r="EC559" s="3"/>
      <c r="ED559" s="3"/>
      <c r="EE559" s="3"/>
      <c r="EF559" s="3"/>
      <c r="EG559" s="3"/>
      <c r="EH559" s="3"/>
      <c r="EI559" s="3"/>
      <c r="EJ559" s="3"/>
      <c r="EK559" s="3"/>
      <c r="EL559" s="3"/>
      <c r="EM559" s="3"/>
      <c r="EN559" s="3"/>
      <c r="EO559" s="3"/>
      <c r="EP559" s="3"/>
      <c r="EQ559" s="3"/>
      <c r="ER559" s="3"/>
      <c r="ES559" s="3"/>
      <c r="ET559" s="3"/>
      <c r="EU559" s="3"/>
      <c r="EV559" s="3"/>
      <c r="EW559" s="3"/>
      <c r="EX559" s="3"/>
      <c r="EY559" s="3"/>
      <c r="EZ559" s="3"/>
      <c r="FA559" s="3"/>
      <c r="FB559" s="3"/>
      <c r="FC559" s="3"/>
      <c r="FD559" s="3"/>
      <c r="FE559" s="3"/>
      <c r="FF559" s="3"/>
      <c r="FG559" s="3"/>
      <c r="FH559" s="3"/>
      <c r="FI559" s="3"/>
      <c r="FJ559" s="3"/>
      <c r="FK559" s="3"/>
      <c r="FL559" s="3"/>
      <c r="FM559" s="3"/>
      <c r="FN559" s="3"/>
      <c r="FO559" s="3"/>
      <c r="FP559" s="3"/>
      <c r="FQ559" s="3"/>
      <c r="FR559" s="3"/>
      <c r="FS559" s="3"/>
      <c r="FT559" s="3"/>
      <c r="FU559" s="3"/>
      <c r="FV559" s="3"/>
      <c r="FW559" s="3"/>
      <c r="FX559" s="3"/>
      <c r="FY559" s="3"/>
      <c r="FZ559" s="3"/>
      <c r="GA559" s="3"/>
      <c r="GB559" s="3"/>
      <c r="GC559" s="3"/>
      <c r="GD559" s="3"/>
      <c r="GE559" s="3"/>
      <c r="GF559" s="3"/>
      <c r="GG559" s="3"/>
      <c r="GH559" s="3"/>
      <c r="GI559" s="3"/>
      <c r="GJ559" s="3"/>
      <c r="GK559" s="3"/>
      <c r="GL559" s="3"/>
      <c r="GM559" s="3"/>
      <c r="GN559" s="3"/>
      <c r="GO559" s="3"/>
      <c r="GP559" s="3"/>
      <c r="GQ559" s="3"/>
      <c r="GR559" s="3"/>
      <c r="GS559" s="3"/>
      <c r="GT559" s="3"/>
      <c r="GU559" s="3"/>
      <c r="GV559" s="3"/>
      <c r="GW559" s="3"/>
      <c r="GX559" s="3">
        <v>0</v>
      </c>
    </row>
    <row r="561" spans="1:28" x14ac:dyDescent="0.2">
      <c r="A561" s="4">
        <v>50</v>
      </c>
      <c r="B561" s="4">
        <v>0</v>
      </c>
      <c r="C561" s="4">
        <v>0</v>
      </c>
      <c r="D561" s="4">
        <v>1</v>
      </c>
      <c r="E561" s="4">
        <v>201</v>
      </c>
      <c r="F561" s="4">
        <f>ROUND(Source!O559,O561)</f>
        <v>46400.18</v>
      </c>
      <c r="G561" s="4" t="s">
        <v>86</v>
      </c>
      <c r="H561" s="4" t="s">
        <v>87</v>
      </c>
      <c r="I561" s="4"/>
      <c r="J561" s="4"/>
      <c r="K561" s="4">
        <v>201</v>
      </c>
      <c r="L561" s="4">
        <v>1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42336.69</v>
      </c>
      <c r="X561" s="4">
        <v>1</v>
      </c>
      <c r="Y561" s="4">
        <v>42336.69</v>
      </c>
      <c r="Z561" s="4"/>
      <c r="AA561" s="4"/>
      <c r="AB561" s="4"/>
    </row>
    <row r="562" spans="1:28" x14ac:dyDescent="0.2">
      <c r="A562" s="4">
        <v>50</v>
      </c>
      <c r="B562" s="4">
        <v>0</v>
      </c>
      <c r="C562" s="4">
        <v>0</v>
      </c>
      <c r="D562" s="4">
        <v>1</v>
      </c>
      <c r="E562" s="4">
        <v>202</v>
      </c>
      <c r="F562" s="4">
        <f>ROUND(Source!P559,O562)</f>
        <v>6417.58</v>
      </c>
      <c r="G562" s="4" t="s">
        <v>88</v>
      </c>
      <c r="H562" s="4" t="s">
        <v>89</v>
      </c>
      <c r="I562" s="4"/>
      <c r="J562" s="4"/>
      <c r="K562" s="4">
        <v>202</v>
      </c>
      <c r="L562" s="4">
        <v>2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6381.65</v>
      </c>
      <c r="X562" s="4">
        <v>1</v>
      </c>
      <c r="Y562" s="4">
        <v>6381.65</v>
      </c>
      <c r="Z562" s="4"/>
      <c r="AA562" s="4"/>
      <c r="AB562" s="4"/>
    </row>
    <row r="563" spans="1:28" x14ac:dyDescent="0.2">
      <c r="A563" s="4">
        <v>50</v>
      </c>
      <c r="B563" s="4">
        <v>0</v>
      </c>
      <c r="C563" s="4">
        <v>0</v>
      </c>
      <c r="D563" s="4">
        <v>1</v>
      </c>
      <c r="E563" s="4">
        <v>222</v>
      </c>
      <c r="F563" s="4">
        <f>ROUND(Source!AO559,O563)</f>
        <v>0</v>
      </c>
      <c r="G563" s="4" t="s">
        <v>90</v>
      </c>
      <c r="H563" s="4" t="s">
        <v>91</v>
      </c>
      <c r="I563" s="4"/>
      <c r="J563" s="4"/>
      <c r="K563" s="4">
        <v>222</v>
      </c>
      <c r="L563" s="4">
        <v>3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0</v>
      </c>
      <c r="X563" s="4">
        <v>1</v>
      </c>
      <c r="Y563" s="4">
        <v>0</v>
      </c>
      <c r="Z563" s="4"/>
      <c r="AA563" s="4"/>
      <c r="AB563" s="4"/>
    </row>
    <row r="564" spans="1:28" x14ac:dyDescent="0.2">
      <c r="A564" s="4">
        <v>50</v>
      </c>
      <c r="B564" s="4">
        <v>0</v>
      </c>
      <c r="C564" s="4">
        <v>0</v>
      </c>
      <c r="D564" s="4">
        <v>1</v>
      </c>
      <c r="E564" s="4">
        <v>225</v>
      </c>
      <c r="F564" s="4">
        <f>ROUND(Source!AV559,O564)</f>
        <v>6417.58</v>
      </c>
      <c r="G564" s="4" t="s">
        <v>92</v>
      </c>
      <c r="H564" s="4" t="s">
        <v>93</v>
      </c>
      <c r="I564" s="4"/>
      <c r="J564" s="4"/>
      <c r="K564" s="4">
        <v>225</v>
      </c>
      <c r="L564" s="4">
        <v>4</v>
      </c>
      <c r="M564" s="4">
        <v>3</v>
      </c>
      <c r="N564" s="4" t="s">
        <v>3</v>
      </c>
      <c r="O564" s="4">
        <v>2</v>
      </c>
      <c r="P564" s="4"/>
      <c r="Q564" s="4"/>
      <c r="R564" s="4"/>
      <c r="S564" s="4"/>
      <c r="T564" s="4"/>
      <c r="U564" s="4"/>
      <c r="V564" s="4"/>
      <c r="W564" s="4">
        <v>6381.65</v>
      </c>
      <c r="X564" s="4">
        <v>1</v>
      </c>
      <c r="Y564" s="4">
        <v>6381.65</v>
      </c>
      <c r="Z564" s="4"/>
      <c r="AA564" s="4"/>
      <c r="AB564" s="4"/>
    </row>
    <row r="565" spans="1:28" x14ac:dyDescent="0.2">
      <c r="A565" s="4">
        <v>50</v>
      </c>
      <c r="B565" s="4">
        <v>0</v>
      </c>
      <c r="C565" s="4">
        <v>0</v>
      </c>
      <c r="D565" s="4">
        <v>1</v>
      </c>
      <c r="E565" s="4">
        <v>226</v>
      </c>
      <c r="F565" s="4">
        <f>ROUND(Source!AW559,O565)</f>
        <v>6417.58</v>
      </c>
      <c r="G565" s="4" t="s">
        <v>94</v>
      </c>
      <c r="H565" s="4" t="s">
        <v>95</v>
      </c>
      <c r="I565" s="4"/>
      <c r="J565" s="4"/>
      <c r="K565" s="4">
        <v>226</v>
      </c>
      <c r="L565" s="4">
        <v>5</v>
      </c>
      <c r="M565" s="4">
        <v>3</v>
      </c>
      <c r="N565" s="4" t="s">
        <v>3</v>
      </c>
      <c r="O565" s="4">
        <v>2</v>
      </c>
      <c r="P565" s="4"/>
      <c r="Q565" s="4"/>
      <c r="R565" s="4"/>
      <c r="S565" s="4"/>
      <c r="T565" s="4"/>
      <c r="U565" s="4"/>
      <c r="V565" s="4"/>
      <c r="W565" s="4">
        <v>6381.65</v>
      </c>
      <c r="X565" s="4">
        <v>1</v>
      </c>
      <c r="Y565" s="4">
        <v>6381.65</v>
      </c>
      <c r="Z565" s="4"/>
      <c r="AA565" s="4"/>
      <c r="AB565" s="4"/>
    </row>
    <row r="566" spans="1:28" x14ac:dyDescent="0.2">
      <c r="A566" s="4">
        <v>50</v>
      </c>
      <c r="B566" s="4">
        <v>0</v>
      </c>
      <c r="C566" s="4">
        <v>0</v>
      </c>
      <c r="D566" s="4">
        <v>1</v>
      </c>
      <c r="E566" s="4">
        <v>227</v>
      </c>
      <c r="F566" s="4">
        <f>ROUND(Source!AX559,O566)</f>
        <v>0</v>
      </c>
      <c r="G566" s="4" t="s">
        <v>96</v>
      </c>
      <c r="H566" s="4" t="s">
        <v>97</v>
      </c>
      <c r="I566" s="4"/>
      <c r="J566" s="4"/>
      <c r="K566" s="4">
        <v>227</v>
      </c>
      <c r="L566" s="4">
        <v>6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0</v>
      </c>
      <c r="X566" s="4">
        <v>1</v>
      </c>
      <c r="Y566" s="4">
        <v>0</v>
      </c>
      <c r="Z566" s="4"/>
      <c r="AA566" s="4"/>
      <c r="AB566" s="4"/>
    </row>
    <row r="567" spans="1:28" x14ac:dyDescent="0.2">
      <c r="A567" s="4">
        <v>50</v>
      </c>
      <c r="B567" s="4">
        <v>0</v>
      </c>
      <c r="C567" s="4">
        <v>0</v>
      </c>
      <c r="D567" s="4">
        <v>1</v>
      </c>
      <c r="E567" s="4">
        <v>228</v>
      </c>
      <c r="F567" s="4">
        <f>ROUND(Source!AY559,O567)</f>
        <v>6417.58</v>
      </c>
      <c r="G567" s="4" t="s">
        <v>98</v>
      </c>
      <c r="H567" s="4" t="s">
        <v>99</v>
      </c>
      <c r="I567" s="4"/>
      <c r="J567" s="4"/>
      <c r="K567" s="4">
        <v>228</v>
      </c>
      <c r="L567" s="4">
        <v>7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6381.65</v>
      </c>
      <c r="X567" s="4">
        <v>1</v>
      </c>
      <c r="Y567" s="4">
        <v>6381.65</v>
      </c>
      <c r="Z567" s="4"/>
      <c r="AA567" s="4"/>
      <c r="AB567" s="4"/>
    </row>
    <row r="568" spans="1:28" x14ac:dyDescent="0.2">
      <c r="A568" s="4">
        <v>50</v>
      </c>
      <c r="B568" s="4">
        <v>0</v>
      </c>
      <c r="C568" s="4">
        <v>0</v>
      </c>
      <c r="D568" s="4">
        <v>1</v>
      </c>
      <c r="E568" s="4">
        <v>216</v>
      </c>
      <c r="F568" s="4">
        <f>ROUND(Source!AP559,O568)</f>
        <v>0</v>
      </c>
      <c r="G568" s="4" t="s">
        <v>100</v>
      </c>
      <c r="H568" s="4" t="s">
        <v>101</v>
      </c>
      <c r="I568" s="4"/>
      <c r="J568" s="4"/>
      <c r="K568" s="4">
        <v>216</v>
      </c>
      <c r="L568" s="4">
        <v>8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8" x14ac:dyDescent="0.2">
      <c r="A569" s="4">
        <v>50</v>
      </c>
      <c r="B569" s="4">
        <v>0</v>
      </c>
      <c r="C569" s="4">
        <v>0</v>
      </c>
      <c r="D569" s="4">
        <v>1</v>
      </c>
      <c r="E569" s="4">
        <v>223</v>
      </c>
      <c r="F569" s="4">
        <f>ROUND(Source!AQ559,O569)</f>
        <v>0</v>
      </c>
      <c r="G569" s="4" t="s">
        <v>102</v>
      </c>
      <c r="H569" s="4" t="s">
        <v>103</v>
      </c>
      <c r="I569" s="4"/>
      <c r="J569" s="4"/>
      <c r="K569" s="4">
        <v>223</v>
      </c>
      <c r="L569" s="4">
        <v>9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8" x14ac:dyDescent="0.2">
      <c r="A570" s="4">
        <v>50</v>
      </c>
      <c r="B570" s="4">
        <v>0</v>
      </c>
      <c r="C570" s="4">
        <v>0</v>
      </c>
      <c r="D570" s="4">
        <v>1</v>
      </c>
      <c r="E570" s="4">
        <v>229</v>
      </c>
      <c r="F570" s="4">
        <f>ROUND(Source!AZ559,O570)</f>
        <v>0</v>
      </c>
      <c r="G570" s="4" t="s">
        <v>104</v>
      </c>
      <c r="H570" s="4" t="s">
        <v>105</v>
      </c>
      <c r="I570" s="4"/>
      <c r="J570" s="4"/>
      <c r="K570" s="4">
        <v>229</v>
      </c>
      <c r="L570" s="4">
        <v>10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8" x14ac:dyDescent="0.2">
      <c r="A571" s="4">
        <v>50</v>
      </c>
      <c r="B571" s="4">
        <v>0</v>
      </c>
      <c r="C571" s="4">
        <v>0</v>
      </c>
      <c r="D571" s="4">
        <v>1</v>
      </c>
      <c r="E571" s="4">
        <v>203</v>
      </c>
      <c r="F571" s="4">
        <f>ROUND(Source!Q559,O571)</f>
        <v>2102.5500000000002</v>
      </c>
      <c r="G571" s="4" t="s">
        <v>106</v>
      </c>
      <c r="H571" s="4" t="s">
        <v>107</v>
      </c>
      <c r="I571" s="4"/>
      <c r="J571" s="4"/>
      <c r="K571" s="4">
        <v>203</v>
      </c>
      <c r="L571" s="4">
        <v>11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1943.71</v>
      </c>
      <c r="X571" s="4">
        <v>1</v>
      </c>
      <c r="Y571" s="4">
        <v>1943.71</v>
      </c>
      <c r="Z571" s="4"/>
      <c r="AA571" s="4"/>
      <c r="AB571" s="4"/>
    </row>
    <row r="572" spans="1:28" x14ac:dyDescent="0.2">
      <c r="A572" s="4">
        <v>50</v>
      </c>
      <c r="B572" s="4">
        <v>0</v>
      </c>
      <c r="C572" s="4">
        <v>0</v>
      </c>
      <c r="D572" s="4">
        <v>1</v>
      </c>
      <c r="E572" s="4">
        <v>231</v>
      </c>
      <c r="F572" s="4">
        <f>ROUND(Source!BB559,O572)</f>
        <v>0</v>
      </c>
      <c r="G572" s="4" t="s">
        <v>108</v>
      </c>
      <c r="H572" s="4" t="s">
        <v>109</v>
      </c>
      <c r="I572" s="4"/>
      <c r="J572" s="4"/>
      <c r="K572" s="4">
        <v>231</v>
      </c>
      <c r="L572" s="4">
        <v>12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8" x14ac:dyDescent="0.2">
      <c r="A573" s="4">
        <v>50</v>
      </c>
      <c r="B573" s="4">
        <v>0</v>
      </c>
      <c r="C573" s="4">
        <v>0</v>
      </c>
      <c r="D573" s="4">
        <v>1</v>
      </c>
      <c r="E573" s="4">
        <v>204</v>
      </c>
      <c r="F573" s="4">
        <f>ROUND(Source!R559,O573)</f>
        <v>1315.61</v>
      </c>
      <c r="G573" s="4" t="s">
        <v>110</v>
      </c>
      <c r="H573" s="4" t="s">
        <v>111</v>
      </c>
      <c r="I573" s="4"/>
      <c r="J573" s="4"/>
      <c r="K573" s="4">
        <v>204</v>
      </c>
      <c r="L573" s="4">
        <v>13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1216.45</v>
      </c>
      <c r="X573" s="4">
        <v>1</v>
      </c>
      <c r="Y573" s="4">
        <v>1216.45</v>
      </c>
      <c r="Z573" s="4"/>
      <c r="AA573" s="4"/>
      <c r="AB573" s="4"/>
    </row>
    <row r="574" spans="1:28" x14ac:dyDescent="0.2">
      <c r="A574" s="4">
        <v>50</v>
      </c>
      <c r="B574" s="4">
        <v>0</v>
      </c>
      <c r="C574" s="4">
        <v>0</v>
      </c>
      <c r="D574" s="4">
        <v>1</v>
      </c>
      <c r="E574" s="4">
        <v>205</v>
      </c>
      <c r="F574" s="4">
        <f>ROUND(Source!S559,O574)</f>
        <v>37880.050000000003</v>
      </c>
      <c r="G574" s="4" t="s">
        <v>112</v>
      </c>
      <c r="H574" s="4" t="s">
        <v>113</v>
      </c>
      <c r="I574" s="4"/>
      <c r="J574" s="4"/>
      <c r="K574" s="4">
        <v>205</v>
      </c>
      <c r="L574" s="4">
        <v>14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34011.33</v>
      </c>
      <c r="X574" s="4">
        <v>1</v>
      </c>
      <c r="Y574" s="4">
        <v>34011.33</v>
      </c>
      <c r="Z574" s="4"/>
      <c r="AA574" s="4"/>
      <c r="AB574" s="4"/>
    </row>
    <row r="575" spans="1:28" x14ac:dyDescent="0.2">
      <c r="A575" s="4">
        <v>50</v>
      </c>
      <c r="B575" s="4">
        <v>0</v>
      </c>
      <c r="C575" s="4">
        <v>0</v>
      </c>
      <c r="D575" s="4">
        <v>1</v>
      </c>
      <c r="E575" s="4">
        <v>232</v>
      </c>
      <c r="F575" s="4">
        <f>ROUND(Source!BC559,O575)</f>
        <v>0</v>
      </c>
      <c r="G575" s="4" t="s">
        <v>114</v>
      </c>
      <c r="H575" s="4" t="s">
        <v>115</v>
      </c>
      <c r="I575" s="4"/>
      <c r="J575" s="4"/>
      <c r="K575" s="4">
        <v>232</v>
      </c>
      <c r="L575" s="4">
        <v>15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8" x14ac:dyDescent="0.2">
      <c r="A576" s="4">
        <v>50</v>
      </c>
      <c r="B576" s="4">
        <v>0</v>
      </c>
      <c r="C576" s="4">
        <v>0</v>
      </c>
      <c r="D576" s="4">
        <v>1</v>
      </c>
      <c r="E576" s="4">
        <v>214</v>
      </c>
      <c r="F576" s="4">
        <f>ROUND(Source!AS559,O576)</f>
        <v>0</v>
      </c>
      <c r="G576" s="4" t="s">
        <v>116</v>
      </c>
      <c r="H576" s="4" t="s">
        <v>117</v>
      </c>
      <c r="I576" s="4"/>
      <c r="J576" s="4"/>
      <c r="K576" s="4">
        <v>214</v>
      </c>
      <c r="L576" s="4">
        <v>16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06" x14ac:dyDescent="0.2">
      <c r="A577" s="4">
        <v>50</v>
      </c>
      <c r="B577" s="4">
        <v>0</v>
      </c>
      <c r="C577" s="4">
        <v>0</v>
      </c>
      <c r="D577" s="4">
        <v>1</v>
      </c>
      <c r="E577" s="4">
        <v>215</v>
      </c>
      <c r="F577" s="4">
        <f>ROUND(Source!AT559,O577)</f>
        <v>0</v>
      </c>
      <c r="G577" s="4" t="s">
        <v>118</v>
      </c>
      <c r="H577" s="4" t="s">
        <v>119</v>
      </c>
      <c r="I577" s="4"/>
      <c r="J577" s="4"/>
      <c r="K577" s="4">
        <v>215</v>
      </c>
      <c r="L577" s="4">
        <v>17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06" x14ac:dyDescent="0.2">
      <c r="A578" s="4">
        <v>50</v>
      </c>
      <c r="B578" s="4">
        <v>0</v>
      </c>
      <c r="C578" s="4">
        <v>0</v>
      </c>
      <c r="D578" s="4">
        <v>1</v>
      </c>
      <c r="E578" s="4">
        <v>217</v>
      </c>
      <c r="F578" s="4">
        <f>ROUND(Source!AU559,O578)</f>
        <v>78125.039999999994</v>
      </c>
      <c r="G578" s="4" t="s">
        <v>120</v>
      </c>
      <c r="H578" s="4" t="s">
        <v>121</v>
      </c>
      <c r="I578" s="4"/>
      <c r="J578" s="4"/>
      <c r="K578" s="4">
        <v>217</v>
      </c>
      <c r="L578" s="4">
        <v>18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70859.490000000005</v>
      </c>
      <c r="X578" s="4">
        <v>1</v>
      </c>
      <c r="Y578" s="4">
        <v>70859.490000000005</v>
      </c>
      <c r="Z578" s="4"/>
      <c r="AA578" s="4"/>
      <c r="AB578" s="4"/>
    </row>
    <row r="579" spans="1:206" x14ac:dyDescent="0.2">
      <c r="A579" s="4">
        <v>50</v>
      </c>
      <c r="B579" s="4">
        <v>0</v>
      </c>
      <c r="C579" s="4">
        <v>0</v>
      </c>
      <c r="D579" s="4">
        <v>1</v>
      </c>
      <c r="E579" s="4">
        <v>230</v>
      </c>
      <c r="F579" s="4">
        <f>ROUND(Source!BA559,O579)</f>
        <v>0</v>
      </c>
      <c r="G579" s="4" t="s">
        <v>122</v>
      </c>
      <c r="H579" s="4" t="s">
        <v>123</v>
      </c>
      <c r="I579" s="4"/>
      <c r="J579" s="4"/>
      <c r="K579" s="4">
        <v>230</v>
      </c>
      <c r="L579" s="4">
        <v>19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06" x14ac:dyDescent="0.2">
      <c r="A580" s="4">
        <v>50</v>
      </c>
      <c r="B580" s="4">
        <v>0</v>
      </c>
      <c r="C580" s="4">
        <v>0</v>
      </c>
      <c r="D580" s="4">
        <v>1</v>
      </c>
      <c r="E580" s="4">
        <v>206</v>
      </c>
      <c r="F580" s="4">
        <f>ROUND(Source!T559,O580)</f>
        <v>0</v>
      </c>
      <c r="G580" s="4" t="s">
        <v>124</v>
      </c>
      <c r="H580" s="4" t="s">
        <v>125</v>
      </c>
      <c r="I580" s="4"/>
      <c r="J580" s="4"/>
      <c r="K580" s="4">
        <v>206</v>
      </c>
      <c r="L580" s="4">
        <v>20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06" x14ac:dyDescent="0.2">
      <c r="A581" s="4">
        <v>50</v>
      </c>
      <c r="B581" s="4">
        <v>0</v>
      </c>
      <c r="C581" s="4">
        <v>0</v>
      </c>
      <c r="D581" s="4">
        <v>1</v>
      </c>
      <c r="E581" s="4">
        <v>207</v>
      </c>
      <c r="F581" s="4">
        <f>Source!U559</f>
        <v>61.745800000000003</v>
      </c>
      <c r="G581" s="4" t="s">
        <v>126</v>
      </c>
      <c r="H581" s="4" t="s">
        <v>127</v>
      </c>
      <c r="I581" s="4"/>
      <c r="J581" s="4"/>
      <c r="K581" s="4">
        <v>207</v>
      </c>
      <c r="L581" s="4">
        <v>21</v>
      </c>
      <c r="M581" s="4">
        <v>3</v>
      </c>
      <c r="N581" s="4" t="s">
        <v>3</v>
      </c>
      <c r="O581" s="4">
        <v>-1</v>
      </c>
      <c r="P581" s="4"/>
      <c r="Q581" s="4"/>
      <c r="R581" s="4"/>
      <c r="S581" s="4"/>
      <c r="T581" s="4"/>
      <c r="U581" s="4"/>
      <c r="V581" s="4"/>
      <c r="W581" s="4">
        <v>54.375999999999998</v>
      </c>
      <c r="X581" s="4">
        <v>1</v>
      </c>
      <c r="Y581" s="4">
        <v>54.375999999999998</v>
      </c>
      <c r="Z581" s="4"/>
      <c r="AA581" s="4"/>
      <c r="AB581" s="4"/>
    </row>
    <row r="582" spans="1:206" x14ac:dyDescent="0.2">
      <c r="A582" s="4">
        <v>50</v>
      </c>
      <c r="B582" s="4">
        <v>0</v>
      </c>
      <c r="C582" s="4">
        <v>0</v>
      </c>
      <c r="D582" s="4">
        <v>1</v>
      </c>
      <c r="E582" s="4">
        <v>208</v>
      </c>
      <c r="F582" s="4">
        <f>Source!V559</f>
        <v>0</v>
      </c>
      <c r="G582" s="4" t="s">
        <v>128</v>
      </c>
      <c r="H582" s="4" t="s">
        <v>129</v>
      </c>
      <c r="I582" s="4"/>
      <c r="J582" s="4"/>
      <c r="K582" s="4">
        <v>208</v>
      </c>
      <c r="L582" s="4">
        <v>22</v>
      </c>
      <c r="M582" s="4">
        <v>3</v>
      </c>
      <c r="N582" s="4" t="s">
        <v>3</v>
      </c>
      <c r="O582" s="4">
        <v>-1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06" x14ac:dyDescent="0.2">
      <c r="A583" s="4">
        <v>50</v>
      </c>
      <c r="B583" s="4">
        <v>0</v>
      </c>
      <c r="C583" s="4">
        <v>0</v>
      </c>
      <c r="D583" s="4">
        <v>1</v>
      </c>
      <c r="E583" s="4">
        <v>209</v>
      </c>
      <c r="F583" s="4">
        <f>ROUND(Source!W559,O583)</f>
        <v>0</v>
      </c>
      <c r="G583" s="4" t="s">
        <v>130</v>
      </c>
      <c r="H583" s="4" t="s">
        <v>131</v>
      </c>
      <c r="I583" s="4"/>
      <c r="J583" s="4"/>
      <c r="K583" s="4">
        <v>209</v>
      </c>
      <c r="L583" s="4">
        <v>23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06" x14ac:dyDescent="0.2">
      <c r="A584" s="4">
        <v>50</v>
      </c>
      <c r="B584" s="4">
        <v>0</v>
      </c>
      <c r="C584" s="4">
        <v>0</v>
      </c>
      <c r="D584" s="4">
        <v>1</v>
      </c>
      <c r="E584" s="4">
        <v>233</v>
      </c>
      <c r="F584" s="4">
        <f>ROUND(Source!BD559,O584)</f>
        <v>0</v>
      </c>
      <c r="G584" s="4" t="s">
        <v>132</v>
      </c>
      <c r="H584" s="4" t="s">
        <v>133</v>
      </c>
      <c r="I584" s="4"/>
      <c r="J584" s="4"/>
      <c r="K584" s="4">
        <v>233</v>
      </c>
      <c r="L584" s="4">
        <v>24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06" x14ac:dyDescent="0.2">
      <c r="A585" s="4">
        <v>50</v>
      </c>
      <c r="B585" s="4">
        <v>0</v>
      </c>
      <c r="C585" s="4">
        <v>0</v>
      </c>
      <c r="D585" s="4">
        <v>1</v>
      </c>
      <c r="E585" s="4">
        <v>210</v>
      </c>
      <c r="F585" s="4">
        <f>ROUND(Source!X559,O585)</f>
        <v>26516.03</v>
      </c>
      <c r="G585" s="4" t="s">
        <v>134</v>
      </c>
      <c r="H585" s="4" t="s">
        <v>135</v>
      </c>
      <c r="I585" s="4"/>
      <c r="J585" s="4"/>
      <c r="K585" s="4">
        <v>210</v>
      </c>
      <c r="L585" s="4">
        <v>25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23807.919999999998</v>
      </c>
      <c r="X585" s="4">
        <v>1</v>
      </c>
      <c r="Y585" s="4">
        <v>23807.919999999998</v>
      </c>
      <c r="Z585" s="4"/>
      <c r="AA585" s="4"/>
      <c r="AB585" s="4"/>
    </row>
    <row r="586" spans="1:206" x14ac:dyDescent="0.2">
      <c r="A586" s="4">
        <v>50</v>
      </c>
      <c r="B586" s="4">
        <v>0</v>
      </c>
      <c r="C586" s="4">
        <v>0</v>
      </c>
      <c r="D586" s="4">
        <v>1</v>
      </c>
      <c r="E586" s="4">
        <v>211</v>
      </c>
      <c r="F586" s="4">
        <f>ROUND(Source!Y559,O586)</f>
        <v>3787.98</v>
      </c>
      <c r="G586" s="4" t="s">
        <v>136</v>
      </c>
      <c r="H586" s="4" t="s">
        <v>137</v>
      </c>
      <c r="I586" s="4"/>
      <c r="J586" s="4"/>
      <c r="K586" s="4">
        <v>211</v>
      </c>
      <c r="L586" s="4">
        <v>26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3401.12</v>
      </c>
      <c r="X586" s="4">
        <v>1</v>
      </c>
      <c r="Y586" s="4">
        <v>3401.12</v>
      </c>
      <c r="Z586" s="4"/>
      <c r="AA586" s="4"/>
      <c r="AB586" s="4"/>
    </row>
    <row r="587" spans="1:206" x14ac:dyDescent="0.2">
      <c r="A587" s="4">
        <v>50</v>
      </c>
      <c r="B587" s="4">
        <v>0</v>
      </c>
      <c r="C587" s="4">
        <v>0</v>
      </c>
      <c r="D587" s="4">
        <v>1</v>
      </c>
      <c r="E587" s="4">
        <v>224</v>
      </c>
      <c r="F587" s="4">
        <f>ROUND(Source!AR559,O587)</f>
        <v>78125.039999999994</v>
      </c>
      <c r="G587" s="4" t="s">
        <v>138</v>
      </c>
      <c r="H587" s="4" t="s">
        <v>139</v>
      </c>
      <c r="I587" s="4"/>
      <c r="J587" s="4"/>
      <c r="K587" s="4">
        <v>224</v>
      </c>
      <c r="L587" s="4">
        <v>27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70859.490000000005</v>
      </c>
      <c r="X587" s="4">
        <v>1</v>
      </c>
      <c r="Y587" s="4">
        <v>70859.490000000005</v>
      </c>
      <c r="Z587" s="4"/>
      <c r="AA587" s="4"/>
      <c r="AB587" s="4"/>
    </row>
    <row r="589" spans="1:206" x14ac:dyDescent="0.2">
      <c r="A589" s="1">
        <v>4</v>
      </c>
      <c r="B589" s="1">
        <v>1</v>
      </c>
      <c r="C589" s="1"/>
      <c r="D589" s="1">
        <f>ROW(A757)</f>
        <v>757</v>
      </c>
      <c r="E589" s="1"/>
      <c r="F589" s="1" t="s">
        <v>12</v>
      </c>
      <c r="G589" s="1" t="s">
        <v>300</v>
      </c>
      <c r="H589" s="1" t="s">
        <v>3</v>
      </c>
      <c r="I589" s="1">
        <v>0</v>
      </c>
      <c r="J589" s="1"/>
      <c r="K589" s="1">
        <v>0</v>
      </c>
      <c r="L589" s="1"/>
      <c r="M589" s="1" t="s">
        <v>3</v>
      </c>
      <c r="N589" s="1"/>
      <c r="O589" s="1"/>
      <c r="P589" s="1"/>
      <c r="Q589" s="1"/>
      <c r="R589" s="1"/>
      <c r="S589" s="1">
        <v>0</v>
      </c>
      <c r="T589" s="1"/>
      <c r="U589" s="1" t="s">
        <v>3</v>
      </c>
      <c r="V589" s="1">
        <v>0</v>
      </c>
      <c r="W589" s="1"/>
      <c r="X589" s="1"/>
      <c r="Y589" s="1"/>
      <c r="Z589" s="1"/>
      <c r="AA589" s="1"/>
      <c r="AB589" s="1" t="s">
        <v>3</v>
      </c>
      <c r="AC589" s="1" t="s">
        <v>3</v>
      </c>
      <c r="AD589" s="1" t="s">
        <v>3</v>
      </c>
      <c r="AE589" s="1" t="s">
        <v>3</v>
      </c>
      <c r="AF589" s="1" t="s">
        <v>3</v>
      </c>
      <c r="AG589" s="1" t="s">
        <v>3</v>
      </c>
      <c r="AH589" s="1"/>
      <c r="AI589" s="1"/>
      <c r="AJ589" s="1"/>
      <c r="AK589" s="1"/>
      <c r="AL589" s="1"/>
      <c r="AM589" s="1"/>
      <c r="AN589" s="1"/>
      <c r="AO589" s="1"/>
      <c r="AP589" s="1" t="s">
        <v>3</v>
      </c>
      <c r="AQ589" s="1" t="s">
        <v>3</v>
      </c>
      <c r="AR589" s="1" t="s">
        <v>3</v>
      </c>
      <c r="AS589" s="1"/>
      <c r="AT589" s="1"/>
      <c r="AU589" s="1"/>
      <c r="AV589" s="1"/>
      <c r="AW589" s="1"/>
      <c r="AX589" s="1"/>
      <c r="AY589" s="1"/>
      <c r="AZ589" s="1" t="s">
        <v>3</v>
      </c>
      <c r="BA589" s="1"/>
      <c r="BB589" s="1" t="s">
        <v>3</v>
      </c>
      <c r="BC589" s="1" t="s">
        <v>3</v>
      </c>
      <c r="BD589" s="1" t="s">
        <v>3</v>
      </c>
      <c r="BE589" s="1" t="s">
        <v>3</v>
      </c>
      <c r="BF589" s="1" t="s">
        <v>3</v>
      </c>
      <c r="BG589" s="1" t="s">
        <v>3</v>
      </c>
      <c r="BH589" s="1" t="s">
        <v>3</v>
      </c>
      <c r="BI589" s="1" t="s">
        <v>3</v>
      </c>
      <c r="BJ589" s="1" t="s">
        <v>3</v>
      </c>
      <c r="BK589" s="1" t="s">
        <v>3</v>
      </c>
      <c r="BL589" s="1" t="s">
        <v>3</v>
      </c>
      <c r="BM589" s="1" t="s">
        <v>3</v>
      </c>
      <c r="BN589" s="1" t="s">
        <v>3</v>
      </c>
      <c r="BO589" s="1" t="s">
        <v>3</v>
      </c>
      <c r="BP589" s="1" t="s">
        <v>3</v>
      </c>
      <c r="BQ589" s="1"/>
      <c r="BR589" s="1"/>
      <c r="BS589" s="1"/>
      <c r="BT589" s="1"/>
      <c r="BU589" s="1"/>
      <c r="BV589" s="1"/>
      <c r="BW589" s="1"/>
      <c r="BX589" s="1">
        <v>0</v>
      </c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>
        <v>0</v>
      </c>
    </row>
    <row r="591" spans="1:206" x14ac:dyDescent="0.2">
      <c r="A591" s="2">
        <v>52</v>
      </c>
      <c r="B591" s="2">
        <f t="shared" ref="B591:G591" si="439">B757</f>
        <v>1</v>
      </c>
      <c r="C591" s="2">
        <f t="shared" si="439"/>
        <v>4</v>
      </c>
      <c r="D591" s="2">
        <f t="shared" si="439"/>
        <v>589</v>
      </c>
      <c r="E591" s="2">
        <f t="shared" si="439"/>
        <v>0</v>
      </c>
      <c r="F591" s="2" t="str">
        <f t="shared" si="439"/>
        <v>Новый раздел</v>
      </c>
      <c r="G591" s="2" t="str">
        <f t="shared" si="439"/>
        <v>Офис-продакшн  5 шт.</v>
      </c>
      <c r="H591" s="2"/>
      <c r="I591" s="2"/>
      <c r="J591" s="2"/>
      <c r="K591" s="2"/>
      <c r="L591" s="2"/>
      <c r="M591" s="2"/>
      <c r="N591" s="2"/>
      <c r="O591" s="2">
        <f t="shared" ref="O591:AT591" si="440">O757</f>
        <v>184276.98</v>
      </c>
      <c r="P591" s="2">
        <f t="shared" si="440"/>
        <v>30666.25</v>
      </c>
      <c r="Q591" s="2">
        <f t="shared" si="440"/>
        <v>8735.9699999999993</v>
      </c>
      <c r="R591" s="2">
        <f t="shared" si="440"/>
        <v>5438.3</v>
      </c>
      <c r="S591" s="2">
        <f t="shared" si="440"/>
        <v>144874.76</v>
      </c>
      <c r="T591" s="2">
        <f t="shared" si="440"/>
        <v>0</v>
      </c>
      <c r="U591" s="2">
        <f t="shared" si="440"/>
        <v>234.8845</v>
      </c>
      <c r="V591" s="2">
        <f t="shared" si="440"/>
        <v>0</v>
      </c>
      <c r="W591" s="2">
        <f t="shared" si="440"/>
        <v>0</v>
      </c>
      <c r="X591" s="2">
        <f t="shared" si="440"/>
        <v>101412.36</v>
      </c>
      <c r="Y591" s="2">
        <f t="shared" si="440"/>
        <v>14487.51</v>
      </c>
      <c r="Z591" s="2">
        <f t="shared" si="440"/>
        <v>0</v>
      </c>
      <c r="AA591" s="2">
        <f t="shared" si="440"/>
        <v>0</v>
      </c>
      <c r="AB591" s="2">
        <f t="shared" si="440"/>
        <v>0</v>
      </c>
      <c r="AC591" s="2">
        <f t="shared" si="440"/>
        <v>0</v>
      </c>
      <c r="AD591" s="2">
        <f t="shared" si="440"/>
        <v>0</v>
      </c>
      <c r="AE591" s="2">
        <f t="shared" si="440"/>
        <v>0</v>
      </c>
      <c r="AF591" s="2">
        <f t="shared" si="440"/>
        <v>0</v>
      </c>
      <c r="AG591" s="2">
        <f t="shared" si="440"/>
        <v>0</v>
      </c>
      <c r="AH591" s="2">
        <f t="shared" si="440"/>
        <v>0</v>
      </c>
      <c r="AI591" s="2">
        <f t="shared" si="440"/>
        <v>0</v>
      </c>
      <c r="AJ591" s="2">
        <f t="shared" si="440"/>
        <v>0</v>
      </c>
      <c r="AK591" s="2">
        <f t="shared" si="440"/>
        <v>0</v>
      </c>
      <c r="AL591" s="2">
        <f t="shared" si="440"/>
        <v>0</v>
      </c>
      <c r="AM591" s="2">
        <f t="shared" si="440"/>
        <v>0</v>
      </c>
      <c r="AN591" s="2">
        <f t="shared" si="440"/>
        <v>0</v>
      </c>
      <c r="AO591" s="2">
        <f t="shared" si="440"/>
        <v>0</v>
      </c>
      <c r="AP591" s="2">
        <f t="shared" si="440"/>
        <v>0</v>
      </c>
      <c r="AQ591" s="2">
        <f t="shared" si="440"/>
        <v>0</v>
      </c>
      <c r="AR591" s="2">
        <f t="shared" si="440"/>
        <v>306050.21000000002</v>
      </c>
      <c r="AS591" s="2">
        <f t="shared" si="440"/>
        <v>0</v>
      </c>
      <c r="AT591" s="2">
        <f t="shared" si="440"/>
        <v>0</v>
      </c>
      <c r="AU591" s="2">
        <f t="shared" ref="AU591:BZ591" si="441">AU757</f>
        <v>306050.21000000002</v>
      </c>
      <c r="AV591" s="2">
        <f t="shared" si="441"/>
        <v>30666.25</v>
      </c>
      <c r="AW591" s="2">
        <f t="shared" si="441"/>
        <v>30666.25</v>
      </c>
      <c r="AX591" s="2">
        <f t="shared" si="441"/>
        <v>0</v>
      </c>
      <c r="AY591" s="2">
        <f t="shared" si="441"/>
        <v>30666.25</v>
      </c>
      <c r="AZ591" s="2">
        <f t="shared" si="441"/>
        <v>0</v>
      </c>
      <c r="BA591" s="2">
        <f t="shared" si="441"/>
        <v>0</v>
      </c>
      <c r="BB591" s="2">
        <f t="shared" si="441"/>
        <v>0</v>
      </c>
      <c r="BC591" s="2">
        <f t="shared" si="441"/>
        <v>0</v>
      </c>
      <c r="BD591" s="2">
        <f t="shared" si="441"/>
        <v>0</v>
      </c>
      <c r="BE591" s="2">
        <f t="shared" si="441"/>
        <v>0</v>
      </c>
      <c r="BF591" s="2">
        <f t="shared" si="441"/>
        <v>0</v>
      </c>
      <c r="BG591" s="2">
        <f t="shared" si="441"/>
        <v>0</v>
      </c>
      <c r="BH591" s="2">
        <f t="shared" si="441"/>
        <v>0</v>
      </c>
      <c r="BI591" s="2">
        <f t="shared" si="441"/>
        <v>0</v>
      </c>
      <c r="BJ591" s="2">
        <f t="shared" si="441"/>
        <v>0</v>
      </c>
      <c r="BK591" s="2">
        <f t="shared" si="441"/>
        <v>0</v>
      </c>
      <c r="BL591" s="2">
        <f t="shared" si="441"/>
        <v>0</v>
      </c>
      <c r="BM591" s="2">
        <f t="shared" si="441"/>
        <v>0</v>
      </c>
      <c r="BN591" s="2">
        <f t="shared" si="441"/>
        <v>0</v>
      </c>
      <c r="BO591" s="2">
        <f t="shared" si="441"/>
        <v>0</v>
      </c>
      <c r="BP591" s="2">
        <f t="shared" si="441"/>
        <v>0</v>
      </c>
      <c r="BQ591" s="2">
        <f t="shared" si="441"/>
        <v>0</v>
      </c>
      <c r="BR591" s="2">
        <f t="shared" si="441"/>
        <v>0</v>
      </c>
      <c r="BS591" s="2">
        <f t="shared" si="441"/>
        <v>0</v>
      </c>
      <c r="BT591" s="2">
        <f t="shared" si="441"/>
        <v>0</v>
      </c>
      <c r="BU591" s="2">
        <f t="shared" si="441"/>
        <v>0</v>
      </c>
      <c r="BV591" s="2">
        <f t="shared" si="441"/>
        <v>0</v>
      </c>
      <c r="BW591" s="2">
        <f t="shared" si="441"/>
        <v>0</v>
      </c>
      <c r="BX591" s="2">
        <f t="shared" si="441"/>
        <v>0</v>
      </c>
      <c r="BY591" s="2">
        <f t="shared" si="441"/>
        <v>0</v>
      </c>
      <c r="BZ591" s="2">
        <f t="shared" si="441"/>
        <v>0</v>
      </c>
      <c r="CA591" s="2">
        <f t="shared" ref="CA591:DF591" si="442">CA757</f>
        <v>0</v>
      </c>
      <c r="CB591" s="2">
        <f t="shared" si="442"/>
        <v>0</v>
      </c>
      <c r="CC591" s="2">
        <f t="shared" si="442"/>
        <v>0</v>
      </c>
      <c r="CD591" s="2">
        <f t="shared" si="442"/>
        <v>0</v>
      </c>
      <c r="CE591" s="2">
        <f t="shared" si="442"/>
        <v>0</v>
      </c>
      <c r="CF591" s="2">
        <f t="shared" si="442"/>
        <v>0</v>
      </c>
      <c r="CG591" s="2">
        <f t="shared" si="442"/>
        <v>0</v>
      </c>
      <c r="CH591" s="2">
        <f t="shared" si="442"/>
        <v>0</v>
      </c>
      <c r="CI591" s="2">
        <f t="shared" si="442"/>
        <v>0</v>
      </c>
      <c r="CJ591" s="2">
        <f t="shared" si="442"/>
        <v>0</v>
      </c>
      <c r="CK591" s="2">
        <f t="shared" si="442"/>
        <v>0</v>
      </c>
      <c r="CL591" s="2">
        <f t="shared" si="442"/>
        <v>0</v>
      </c>
      <c r="CM591" s="2">
        <f t="shared" si="442"/>
        <v>0</v>
      </c>
      <c r="CN591" s="2">
        <f t="shared" si="442"/>
        <v>0</v>
      </c>
      <c r="CO591" s="2">
        <f t="shared" si="442"/>
        <v>0</v>
      </c>
      <c r="CP591" s="2">
        <f t="shared" si="442"/>
        <v>0</v>
      </c>
      <c r="CQ591" s="2">
        <f t="shared" si="442"/>
        <v>0</v>
      </c>
      <c r="CR591" s="2">
        <f t="shared" si="442"/>
        <v>0</v>
      </c>
      <c r="CS591" s="2">
        <f t="shared" si="442"/>
        <v>0</v>
      </c>
      <c r="CT591" s="2">
        <f t="shared" si="442"/>
        <v>0</v>
      </c>
      <c r="CU591" s="2">
        <f t="shared" si="442"/>
        <v>0</v>
      </c>
      <c r="CV591" s="2">
        <f t="shared" si="442"/>
        <v>0</v>
      </c>
      <c r="CW591" s="2">
        <f t="shared" si="442"/>
        <v>0</v>
      </c>
      <c r="CX591" s="2">
        <f t="shared" si="442"/>
        <v>0</v>
      </c>
      <c r="CY591" s="2">
        <f t="shared" si="442"/>
        <v>0</v>
      </c>
      <c r="CZ591" s="2">
        <f t="shared" si="442"/>
        <v>0</v>
      </c>
      <c r="DA591" s="2">
        <f t="shared" si="442"/>
        <v>0</v>
      </c>
      <c r="DB591" s="2">
        <f t="shared" si="442"/>
        <v>0</v>
      </c>
      <c r="DC591" s="2">
        <f t="shared" si="442"/>
        <v>0</v>
      </c>
      <c r="DD591" s="2">
        <f t="shared" si="442"/>
        <v>0</v>
      </c>
      <c r="DE591" s="2">
        <f t="shared" si="442"/>
        <v>0</v>
      </c>
      <c r="DF591" s="2">
        <f t="shared" si="442"/>
        <v>0</v>
      </c>
      <c r="DG591" s="3">
        <f t="shared" ref="DG591:EL591" si="443">DG757</f>
        <v>0</v>
      </c>
      <c r="DH591" s="3">
        <f t="shared" si="443"/>
        <v>0</v>
      </c>
      <c r="DI591" s="3">
        <f t="shared" si="443"/>
        <v>0</v>
      </c>
      <c r="DJ591" s="3">
        <f t="shared" si="443"/>
        <v>0</v>
      </c>
      <c r="DK591" s="3">
        <f t="shared" si="443"/>
        <v>0</v>
      </c>
      <c r="DL591" s="3">
        <f t="shared" si="443"/>
        <v>0</v>
      </c>
      <c r="DM591" s="3">
        <f t="shared" si="443"/>
        <v>0</v>
      </c>
      <c r="DN591" s="3">
        <f t="shared" si="443"/>
        <v>0</v>
      </c>
      <c r="DO591" s="3">
        <f t="shared" si="443"/>
        <v>0</v>
      </c>
      <c r="DP591" s="3">
        <f t="shared" si="443"/>
        <v>0</v>
      </c>
      <c r="DQ591" s="3">
        <f t="shared" si="443"/>
        <v>0</v>
      </c>
      <c r="DR591" s="3">
        <f t="shared" si="443"/>
        <v>0</v>
      </c>
      <c r="DS591" s="3">
        <f t="shared" si="443"/>
        <v>0</v>
      </c>
      <c r="DT591" s="3">
        <f t="shared" si="443"/>
        <v>0</v>
      </c>
      <c r="DU591" s="3">
        <f t="shared" si="443"/>
        <v>0</v>
      </c>
      <c r="DV591" s="3">
        <f t="shared" si="443"/>
        <v>0</v>
      </c>
      <c r="DW591" s="3">
        <f t="shared" si="443"/>
        <v>0</v>
      </c>
      <c r="DX591" s="3">
        <f t="shared" si="443"/>
        <v>0</v>
      </c>
      <c r="DY591" s="3">
        <f t="shared" si="443"/>
        <v>0</v>
      </c>
      <c r="DZ591" s="3">
        <f t="shared" si="443"/>
        <v>0</v>
      </c>
      <c r="EA591" s="3">
        <f t="shared" si="443"/>
        <v>0</v>
      </c>
      <c r="EB591" s="3">
        <f t="shared" si="443"/>
        <v>0</v>
      </c>
      <c r="EC591" s="3">
        <f t="shared" si="443"/>
        <v>0</v>
      </c>
      <c r="ED591" s="3">
        <f t="shared" si="443"/>
        <v>0</v>
      </c>
      <c r="EE591" s="3">
        <f t="shared" si="443"/>
        <v>0</v>
      </c>
      <c r="EF591" s="3">
        <f t="shared" si="443"/>
        <v>0</v>
      </c>
      <c r="EG591" s="3">
        <f t="shared" si="443"/>
        <v>0</v>
      </c>
      <c r="EH591" s="3">
        <f t="shared" si="443"/>
        <v>0</v>
      </c>
      <c r="EI591" s="3">
        <f t="shared" si="443"/>
        <v>0</v>
      </c>
      <c r="EJ591" s="3">
        <f t="shared" si="443"/>
        <v>0</v>
      </c>
      <c r="EK591" s="3">
        <f t="shared" si="443"/>
        <v>0</v>
      </c>
      <c r="EL591" s="3">
        <f t="shared" si="443"/>
        <v>0</v>
      </c>
      <c r="EM591" s="3">
        <f t="shared" ref="EM591:FR591" si="444">EM757</f>
        <v>0</v>
      </c>
      <c r="EN591" s="3">
        <f t="shared" si="444"/>
        <v>0</v>
      </c>
      <c r="EO591" s="3">
        <f t="shared" si="444"/>
        <v>0</v>
      </c>
      <c r="EP591" s="3">
        <f t="shared" si="444"/>
        <v>0</v>
      </c>
      <c r="EQ591" s="3">
        <f t="shared" si="444"/>
        <v>0</v>
      </c>
      <c r="ER591" s="3">
        <f t="shared" si="444"/>
        <v>0</v>
      </c>
      <c r="ES591" s="3">
        <f t="shared" si="444"/>
        <v>0</v>
      </c>
      <c r="ET591" s="3">
        <f t="shared" si="444"/>
        <v>0</v>
      </c>
      <c r="EU591" s="3">
        <f t="shared" si="444"/>
        <v>0</v>
      </c>
      <c r="EV591" s="3">
        <f t="shared" si="444"/>
        <v>0</v>
      </c>
      <c r="EW591" s="3">
        <f t="shared" si="444"/>
        <v>0</v>
      </c>
      <c r="EX591" s="3">
        <f t="shared" si="444"/>
        <v>0</v>
      </c>
      <c r="EY591" s="3">
        <f t="shared" si="444"/>
        <v>0</v>
      </c>
      <c r="EZ591" s="3">
        <f t="shared" si="444"/>
        <v>0</v>
      </c>
      <c r="FA591" s="3">
        <f t="shared" si="444"/>
        <v>0</v>
      </c>
      <c r="FB591" s="3">
        <f t="shared" si="444"/>
        <v>0</v>
      </c>
      <c r="FC591" s="3">
        <f t="shared" si="444"/>
        <v>0</v>
      </c>
      <c r="FD591" s="3">
        <f t="shared" si="444"/>
        <v>0</v>
      </c>
      <c r="FE591" s="3">
        <f t="shared" si="444"/>
        <v>0</v>
      </c>
      <c r="FF591" s="3">
        <f t="shared" si="444"/>
        <v>0</v>
      </c>
      <c r="FG591" s="3">
        <f t="shared" si="444"/>
        <v>0</v>
      </c>
      <c r="FH591" s="3">
        <f t="shared" si="444"/>
        <v>0</v>
      </c>
      <c r="FI591" s="3">
        <f t="shared" si="444"/>
        <v>0</v>
      </c>
      <c r="FJ591" s="3">
        <f t="shared" si="444"/>
        <v>0</v>
      </c>
      <c r="FK591" s="3">
        <f t="shared" si="444"/>
        <v>0</v>
      </c>
      <c r="FL591" s="3">
        <f t="shared" si="444"/>
        <v>0</v>
      </c>
      <c r="FM591" s="3">
        <f t="shared" si="444"/>
        <v>0</v>
      </c>
      <c r="FN591" s="3">
        <f t="shared" si="444"/>
        <v>0</v>
      </c>
      <c r="FO591" s="3">
        <f t="shared" si="444"/>
        <v>0</v>
      </c>
      <c r="FP591" s="3">
        <f t="shared" si="444"/>
        <v>0</v>
      </c>
      <c r="FQ591" s="3">
        <f t="shared" si="444"/>
        <v>0</v>
      </c>
      <c r="FR591" s="3">
        <f t="shared" si="444"/>
        <v>0</v>
      </c>
      <c r="FS591" s="3">
        <f t="shared" ref="FS591:GX591" si="445">FS757</f>
        <v>0</v>
      </c>
      <c r="FT591" s="3">
        <f t="shared" si="445"/>
        <v>0</v>
      </c>
      <c r="FU591" s="3">
        <f t="shared" si="445"/>
        <v>0</v>
      </c>
      <c r="FV591" s="3">
        <f t="shared" si="445"/>
        <v>0</v>
      </c>
      <c r="FW591" s="3">
        <f t="shared" si="445"/>
        <v>0</v>
      </c>
      <c r="FX591" s="3">
        <f t="shared" si="445"/>
        <v>0</v>
      </c>
      <c r="FY591" s="3">
        <f t="shared" si="445"/>
        <v>0</v>
      </c>
      <c r="FZ591" s="3">
        <f t="shared" si="445"/>
        <v>0</v>
      </c>
      <c r="GA591" s="3">
        <f t="shared" si="445"/>
        <v>0</v>
      </c>
      <c r="GB591" s="3">
        <f t="shared" si="445"/>
        <v>0</v>
      </c>
      <c r="GC591" s="3">
        <f t="shared" si="445"/>
        <v>0</v>
      </c>
      <c r="GD591" s="3">
        <f t="shared" si="445"/>
        <v>0</v>
      </c>
      <c r="GE591" s="3">
        <f t="shared" si="445"/>
        <v>0</v>
      </c>
      <c r="GF591" s="3">
        <f t="shared" si="445"/>
        <v>0</v>
      </c>
      <c r="GG591" s="3">
        <f t="shared" si="445"/>
        <v>0</v>
      </c>
      <c r="GH591" s="3">
        <f t="shared" si="445"/>
        <v>0</v>
      </c>
      <c r="GI591" s="3">
        <f t="shared" si="445"/>
        <v>0</v>
      </c>
      <c r="GJ591" s="3">
        <f t="shared" si="445"/>
        <v>0</v>
      </c>
      <c r="GK591" s="3">
        <f t="shared" si="445"/>
        <v>0</v>
      </c>
      <c r="GL591" s="3">
        <f t="shared" si="445"/>
        <v>0</v>
      </c>
      <c r="GM591" s="3">
        <f t="shared" si="445"/>
        <v>0</v>
      </c>
      <c r="GN591" s="3">
        <f t="shared" si="445"/>
        <v>0</v>
      </c>
      <c r="GO591" s="3">
        <f t="shared" si="445"/>
        <v>0</v>
      </c>
      <c r="GP591" s="3">
        <f t="shared" si="445"/>
        <v>0</v>
      </c>
      <c r="GQ591" s="3">
        <f t="shared" si="445"/>
        <v>0</v>
      </c>
      <c r="GR591" s="3">
        <f t="shared" si="445"/>
        <v>0</v>
      </c>
      <c r="GS591" s="3">
        <f t="shared" si="445"/>
        <v>0</v>
      </c>
      <c r="GT591" s="3">
        <f t="shared" si="445"/>
        <v>0</v>
      </c>
      <c r="GU591" s="3">
        <f t="shared" si="445"/>
        <v>0</v>
      </c>
      <c r="GV591" s="3">
        <f t="shared" si="445"/>
        <v>0</v>
      </c>
      <c r="GW591" s="3">
        <f t="shared" si="445"/>
        <v>0</v>
      </c>
      <c r="GX591" s="3">
        <f t="shared" si="445"/>
        <v>0</v>
      </c>
    </row>
    <row r="593" spans="1:245" x14ac:dyDescent="0.2">
      <c r="A593" s="1">
        <v>5</v>
      </c>
      <c r="B593" s="1">
        <v>1</v>
      </c>
      <c r="C593" s="1"/>
      <c r="D593" s="1">
        <f>ROW(A618)</f>
        <v>618</v>
      </c>
      <c r="E593" s="1"/>
      <c r="F593" s="1" t="s">
        <v>14</v>
      </c>
      <c r="G593" s="1" t="s">
        <v>15</v>
      </c>
      <c r="H593" s="1" t="s">
        <v>3</v>
      </c>
      <c r="I593" s="1">
        <v>0</v>
      </c>
      <c r="J593" s="1"/>
      <c r="K593" s="1">
        <v>-1</v>
      </c>
      <c r="L593" s="1"/>
      <c r="M593" s="1" t="s">
        <v>3</v>
      </c>
      <c r="N593" s="1"/>
      <c r="O593" s="1"/>
      <c r="P593" s="1"/>
      <c r="Q593" s="1"/>
      <c r="R593" s="1"/>
      <c r="S593" s="1">
        <v>0</v>
      </c>
      <c r="T593" s="1"/>
      <c r="U593" s="1" t="s">
        <v>3</v>
      </c>
      <c r="V593" s="1">
        <v>0</v>
      </c>
      <c r="W593" s="1"/>
      <c r="X593" s="1"/>
      <c r="Y593" s="1"/>
      <c r="Z593" s="1"/>
      <c r="AA593" s="1"/>
      <c r="AB593" s="1" t="s">
        <v>3</v>
      </c>
      <c r="AC593" s="1" t="s">
        <v>3</v>
      </c>
      <c r="AD593" s="1" t="s">
        <v>3</v>
      </c>
      <c r="AE593" s="1" t="s">
        <v>3</v>
      </c>
      <c r="AF593" s="1" t="s">
        <v>3</v>
      </c>
      <c r="AG593" s="1" t="s">
        <v>3</v>
      </c>
      <c r="AH593" s="1"/>
      <c r="AI593" s="1"/>
      <c r="AJ593" s="1"/>
      <c r="AK593" s="1"/>
      <c r="AL593" s="1"/>
      <c r="AM593" s="1"/>
      <c r="AN593" s="1"/>
      <c r="AO593" s="1"/>
      <c r="AP593" s="1" t="s">
        <v>3</v>
      </c>
      <c r="AQ593" s="1" t="s">
        <v>3</v>
      </c>
      <c r="AR593" s="1" t="s">
        <v>3</v>
      </c>
      <c r="AS593" s="1"/>
      <c r="AT593" s="1"/>
      <c r="AU593" s="1"/>
      <c r="AV593" s="1"/>
      <c r="AW593" s="1"/>
      <c r="AX593" s="1"/>
      <c r="AY593" s="1"/>
      <c r="AZ593" s="1" t="s">
        <v>3</v>
      </c>
      <c r="BA593" s="1"/>
      <c r="BB593" s="1" t="s">
        <v>3</v>
      </c>
      <c r="BC593" s="1" t="s">
        <v>3</v>
      </c>
      <c r="BD593" s="1" t="s">
        <v>3</v>
      </c>
      <c r="BE593" s="1" t="s">
        <v>3</v>
      </c>
      <c r="BF593" s="1" t="s">
        <v>3</v>
      </c>
      <c r="BG593" s="1" t="s">
        <v>3</v>
      </c>
      <c r="BH593" s="1" t="s">
        <v>3</v>
      </c>
      <c r="BI593" s="1" t="s">
        <v>3</v>
      </c>
      <c r="BJ593" s="1" t="s">
        <v>3</v>
      </c>
      <c r="BK593" s="1" t="s">
        <v>3</v>
      </c>
      <c r="BL593" s="1" t="s">
        <v>3</v>
      </c>
      <c r="BM593" s="1" t="s">
        <v>3</v>
      </c>
      <c r="BN593" s="1" t="s">
        <v>3</v>
      </c>
      <c r="BO593" s="1" t="s">
        <v>3</v>
      </c>
      <c r="BP593" s="1" t="s">
        <v>3</v>
      </c>
      <c r="BQ593" s="1"/>
      <c r="BR593" s="1"/>
      <c r="BS593" s="1"/>
      <c r="BT593" s="1"/>
      <c r="BU593" s="1"/>
      <c r="BV593" s="1"/>
      <c r="BW593" s="1"/>
      <c r="BX593" s="1">
        <v>0</v>
      </c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>
        <v>0</v>
      </c>
    </row>
    <row r="595" spans="1:245" x14ac:dyDescent="0.2">
      <c r="A595" s="2">
        <v>52</v>
      </c>
      <c r="B595" s="2">
        <f t="shared" ref="B595:G595" si="446">B618</f>
        <v>1</v>
      </c>
      <c r="C595" s="2">
        <f t="shared" si="446"/>
        <v>5</v>
      </c>
      <c r="D595" s="2">
        <f t="shared" si="446"/>
        <v>593</v>
      </c>
      <c r="E595" s="2">
        <f t="shared" si="446"/>
        <v>0</v>
      </c>
      <c r="F595" s="2" t="str">
        <f t="shared" si="446"/>
        <v>Новый подраздел</v>
      </c>
      <c r="G595" s="2" t="str">
        <f t="shared" si="446"/>
        <v>Оборудование водоснабжения и водоотведения</v>
      </c>
      <c r="H595" s="2"/>
      <c r="I595" s="2"/>
      <c r="J595" s="2"/>
      <c r="K595" s="2"/>
      <c r="L595" s="2"/>
      <c r="M595" s="2"/>
      <c r="N595" s="2"/>
      <c r="O595" s="2">
        <f t="shared" ref="O595:AT595" si="447">O618</f>
        <v>74111.070000000007</v>
      </c>
      <c r="P595" s="2">
        <f t="shared" si="447"/>
        <v>29499.69</v>
      </c>
      <c r="Q595" s="2">
        <f t="shared" si="447"/>
        <v>7976.43</v>
      </c>
      <c r="R595" s="2">
        <f t="shared" si="447"/>
        <v>4975.28</v>
      </c>
      <c r="S595" s="2">
        <f t="shared" si="447"/>
        <v>36634.949999999997</v>
      </c>
      <c r="T595" s="2">
        <f t="shared" si="447"/>
        <v>0</v>
      </c>
      <c r="U595" s="2">
        <f t="shared" si="447"/>
        <v>58.544500000000006</v>
      </c>
      <c r="V595" s="2">
        <f t="shared" si="447"/>
        <v>0</v>
      </c>
      <c r="W595" s="2">
        <f t="shared" si="447"/>
        <v>0</v>
      </c>
      <c r="X595" s="2">
        <f t="shared" si="447"/>
        <v>25644.48</v>
      </c>
      <c r="Y595" s="2">
        <f t="shared" si="447"/>
        <v>3663.51</v>
      </c>
      <c r="Z595" s="2">
        <f t="shared" si="447"/>
        <v>0</v>
      </c>
      <c r="AA595" s="2">
        <f t="shared" si="447"/>
        <v>0</v>
      </c>
      <c r="AB595" s="2">
        <f t="shared" si="447"/>
        <v>74111.070000000007</v>
      </c>
      <c r="AC595" s="2">
        <f t="shared" si="447"/>
        <v>29499.69</v>
      </c>
      <c r="AD595" s="2">
        <f t="shared" si="447"/>
        <v>7976.43</v>
      </c>
      <c r="AE595" s="2">
        <f t="shared" si="447"/>
        <v>4975.28</v>
      </c>
      <c r="AF595" s="2">
        <f t="shared" si="447"/>
        <v>36634.949999999997</v>
      </c>
      <c r="AG595" s="2">
        <f t="shared" si="447"/>
        <v>0</v>
      </c>
      <c r="AH595" s="2">
        <f t="shared" si="447"/>
        <v>58.544500000000006</v>
      </c>
      <c r="AI595" s="2">
        <f t="shared" si="447"/>
        <v>0</v>
      </c>
      <c r="AJ595" s="2">
        <f t="shared" si="447"/>
        <v>0</v>
      </c>
      <c r="AK595" s="2">
        <f t="shared" si="447"/>
        <v>25644.48</v>
      </c>
      <c r="AL595" s="2">
        <f t="shared" si="447"/>
        <v>3663.51</v>
      </c>
      <c r="AM595" s="2">
        <f t="shared" si="447"/>
        <v>0</v>
      </c>
      <c r="AN595" s="2">
        <f t="shared" si="447"/>
        <v>0</v>
      </c>
      <c r="AO595" s="2">
        <f t="shared" si="447"/>
        <v>0</v>
      </c>
      <c r="AP595" s="2">
        <f t="shared" si="447"/>
        <v>0</v>
      </c>
      <c r="AQ595" s="2">
        <f t="shared" si="447"/>
        <v>0</v>
      </c>
      <c r="AR595" s="2">
        <f t="shared" si="447"/>
        <v>108792.36</v>
      </c>
      <c r="AS595" s="2">
        <f t="shared" si="447"/>
        <v>0</v>
      </c>
      <c r="AT595" s="2">
        <f t="shared" si="447"/>
        <v>0</v>
      </c>
      <c r="AU595" s="2">
        <f t="shared" ref="AU595:BZ595" si="448">AU618</f>
        <v>108792.36</v>
      </c>
      <c r="AV595" s="2">
        <f t="shared" si="448"/>
        <v>29499.69</v>
      </c>
      <c r="AW595" s="2">
        <f t="shared" si="448"/>
        <v>29499.69</v>
      </c>
      <c r="AX595" s="2">
        <f t="shared" si="448"/>
        <v>0</v>
      </c>
      <c r="AY595" s="2">
        <f t="shared" si="448"/>
        <v>29499.69</v>
      </c>
      <c r="AZ595" s="2">
        <f t="shared" si="448"/>
        <v>0</v>
      </c>
      <c r="BA595" s="2">
        <f t="shared" si="448"/>
        <v>0</v>
      </c>
      <c r="BB595" s="2">
        <f t="shared" si="448"/>
        <v>0</v>
      </c>
      <c r="BC595" s="2">
        <f t="shared" si="448"/>
        <v>0</v>
      </c>
      <c r="BD595" s="2">
        <f t="shared" si="448"/>
        <v>0</v>
      </c>
      <c r="BE595" s="2">
        <f t="shared" si="448"/>
        <v>0</v>
      </c>
      <c r="BF595" s="2">
        <f t="shared" si="448"/>
        <v>0</v>
      </c>
      <c r="BG595" s="2">
        <f t="shared" si="448"/>
        <v>0</v>
      </c>
      <c r="BH595" s="2">
        <f t="shared" si="448"/>
        <v>0</v>
      </c>
      <c r="BI595" s="2">
        <f t="shared" si="448"/>
        <v>0</v>
      </c>
      <c r="BJ595" s="2">
        <f t="shared" si="448"/>
        <v>0</v>
      </c>
      <c r="BK595" s="2">
        <f t="shared" si="448"/>
        <v>0</v>
      </c>
      <c r="BL595" s="2">
        <f t="shared" si="448"/>
        <v>0</v>
      </c>
      <c r="BM595" s="2">
        <f t="shared" si="448"/>
        <v>0</v>
      </c>
      <c r="BN595" s="2">
        <f t="shared" si="448"/>
        <v>0</v>
      </c>
      <c r="BO595" s="2">
        <f t="shared" si="448"/>
        <v>0</v>
      </c>
      <c r="BP595" s="2">
        <f t="shared" si="448"/>
        <v>0</v>
      </c>
      <c r="BQ595" s="2">
        <f t="shared" si="448"/>
        <v>0</v>
      </c>
      <c r="BR595" s="2">
        <f t="shared" si="448"/>
        <v>0</v>
      </c>
      <c r="BS595" s="2">
        <f t="shared" si="448"/>
        <v>0</v>
      </c>
      <c r="BT595" s="2">
        <f t="shared" si="448"/>
        <v>0</v>
      </c>
      <c r="BU595" s="2">
        <f t="shared" si="448"/>
        <v>0</v>
      </c>
      <c r="BV595" s="2">
        <f t="shared" si="448"/>
        <v>0</v>
      </c>
      <c r="BW595" s="2">
        <f t="shared" si="448"/>
        <v>0</v>
      </c>
      <c r="BX595" s="2">
        <f t="shared" si="448"/>
        <v>0</v>
      </c>
      <c r="BY595" s="2">
        <f t="shared" si="448"/>
        <v>0</v>
      </c>
      <c r="BZ595" s="2">
        <f t="shared" si="448"/>
        <v>0</v>
      </c>
      <c r="CA595" s="2">
        <f t="shared" ref="CA595:DF595" si="449">CA618</f>
        <v>108792.36</v>
      </c>
      <c r="CB595" s="2">
        <f t="shared" si="449"/>
        <v>0</v>
      </c>
      <c r="CC595" s="2">
        <f t="shared" si="449"/>
        <v>0</v>
      </c>
      <c r="CD595" s="2">
        <f t="shared" si="449"/>
        <v>108792.36</v>
      </c>
      <c r="CE595" s="2">
        <f t="shared" si="449"/>
        <v>29499.69</v>
      </c>
      <c r="CF595" s="2">
        <f t="shared" si="449"/>
        <v>29499.69</v>
      </c>
      <c r="CG595" s="2">
        <f t="shared" si="449"/>
        <v>0</v>
      </c>
      <c r="CH595" s="2">
        <f t="shared" si="449"/>
        <v>29499.69</v>
      </c>
      <c r="CI595" s="2">
        <f t="shared" si="449"/>
        <v>0</v>
      </c>
      <c r="CJ595" s="2">
        <f t="shared" si="449"/>
        <v>0</v>
      </c>
      <c r="CK595" s="2">
        <f t="shared" si="449"/>
        <v>0</v>
      </c>
      <c r="CL595" s="2">
        <f t="shared" si="449"/>
        <v>0</v>
      </c>
      <c r="CM595" s="2">
        <f t="shared" si="449"/>
        <v>0</v>
      </c>
      <c r="CN595" s="2">
        <f t="shared" si="449"/>
        <v>0</v>
      </c>
      <c r="CO595" s="2">
        <f t="shared" si="449"/>
        <v>0</v>
      </c>
      <c r="CP595" s="2">
        <f t="shared" si="449"/>
        <v>0</v>
      </c>
      <c r="CQ595" s="2">
        <f t="shared" si="449"/>
        <v>0</v>
      </c>
      <c r="CR595" s="2">
        <f t="shared" si="449"/>
        <v>0</v>
      </c>
      <c r="CS595" s="2">
        <f t="shared" si="449"/>
        <v>0</v>
      </c>
      <c r="CT595" s="2">
        <f t="shared" si="449"/>
        <v>0</v>
      </c>
      <c r="CU595" s="2">
        <f t="shared" si="449"/>
        <v>0</v>
      </c>
      <c r="CV595" s="2">
        <f t="shared" si="449"/>
        <v>0</v>
      </c>
      <c r="CW595" s="2">
        <f t="shared" si="449"/>
        <v>0</v>
      </c>
      <c r="CX595" s="2">
        <f t="shared" si="449"/>
        <v>0</v>
      </c>
      <c r="CY595" s="2">
        <f t="shared" si="449"/>
        <v>0</v>
      </c>
      <c r="CZ595" s="2">
        <f t="shared" si="449"/>
        <v>0</v>
      </c>
      <c r="DA595" s="2">
        <f t="shared" si="449"/>
        <v>0</v>
      </c>
      <c r="DB595" s="2">
        <f t="shared" si="449"/>
        <v>0</v>
      </c>
      <c r="DC595" s="2">
        <f t="shared" si="449"/>
        <v>0</v>
      </c>
      <c r="DD595" s="2">
        <f t="shared" si="449"/>
        <v>0</v>
      </c>
      <c r="DE595" s="2">
        <f t="shared" si="449"/>
        <v>0</v>
      </c>
      <c r="DF595" s="2">
        <f t="shared" si="449"/>
        <v>0</v>
      </c>
      <c r="DG595" s="3">
        <f t="shared" ref="DG595:EL595" si="450">DG618</f>
        <v>0</v>
      </c>
      <c r="DH595" s="3">
        <f t="shared" si="450"/>
        <v>0</v>
      </c>
      <c r="DI595" s="3">
        <f t="shared" si="450"/>
        <v>0</v>
      </c>
      <c r="DJ595" s="3">
        <f t="shared" si="450"/>
        <v>0</v>
      </c>
      <c r="DK595" s="3">
        <f t="shared" si="450"/>
        <v>0</v>
      </c>
      <c r="DL595" s="3">
        <f t="shared" si="450"/>
        <v>0</v>
      </c>
      <c r="DM595" s="3">
        <f t="shared" si="450"/>
        <v>0</v>
      </c>
      <c r="DN595" s="3">
        <f t="shared" si="450"/>
        <v>0</v>
      </c>
      <c r="DO595" s="3">
        <f t="shared" si="450"/>
        <v>0</v>
      </c>
      <c r="DP595" s="3">
        <f t="shared" si="450"/>
        <v>0</v>
      </c>
      <c r="DQ595" s="3">
        <f t="shared" si="450"/>
        <v>0</v>
      </c>
      <c r="DR595" s="3">
        <f t="shared" si="450"/>
        <v>0</v>
      </c>
      <c r="DS595" s="3">
        <f t="shared" si="450"/>
        <v>0</v>
      </c>
      <c r="DT595" s="3">
        <f t="shared" si="450"/>
        <v>0</v>
      </c>
      <c r="DU595" s="3">
        <f t="shared" si="450"/>
        <v>0</v>
      </c>
      <c r="DV595" s="3">
        <f t="shared" si="450"/>
        <v>0</v>
      </c>
      <c r="DW595" s="3">
        <f t="shared" si="450"/>
        <v>0</v>
      </c>
      <c r="DX595" s="3">
        <f t="shared" si="450"/>
        <v>0</v>
      </c>
      <c r="DY595" s="3">
        <f t="shared" si="450"/>
        <v>0</v>
      </c>
      <c r="DZ595" s="3">
        <f t="shared" si="450"/>
        <v>0</v>
      </c>
      <c r="EA595" s="3">
        <f t="shared" si="450"/>
        <v>0</v>
      </c>
      <c r="EB595" s="3">
        <f t="shared" si="450"/>
        <v>0</v>
      </c>
      <c r="EC595" s="3">
        <f t="shared" si="450"/>
        <v>0</v>
      </c>
      <c r="ED595" s="3">
        <f t="shared" si="450"/>
        <v>0</v>
      </c>
      <c r="EE595" s="3">
        <f t="shared" si="450"/>
        <v>0</v>
      </c>
      <c r="EF595" s="3">
        <f t="shared" si="450"/>
        <v>0</v>
      </c>
      <c r="EG595" s="3">
        <f t="shared" si="450"/>
        <v>0</v>
      </c>
      <c r="EH595" s="3">
        <f t="shared" si="450"/>
        <v>0</v>
      </c>
      <c r="EI595" s="3">
        <f t="shared" si="450"/>
        <v>0</v>
      </c>
      <c r="EJ595" s="3">
        <f t="shared" si="450"/>
        <v>0</v>
      </c>
      <c r="EK595" s="3">
        <f t="shared" si="450"/>
        <v>0</v>
      </c>
      <c r="EL595" s="3">
        <f t="shared" si="450"/>
        <v>0</v>
      </c>
      <c r="EM595" s="3">
        <f t="shared" ref="EM595:FR595" si="451">EM618</f>
        <v>0</v>
      </c>
      <c r="EN595" s="3">
        <f t="shared" si="451"/>
        <v>0</v>
      </c>
      <c r="EO595" s="3">
        <f t="shared" si="451"/>
        <v>0</v>
      </c>
      <c r="EP595" s="3">
        <f t="shared" si="451"/>
        <v>0</v>
      </c>
      <c r="EQ595" s="3">
        <f t="shared" si="451"/>
        <v>0</v>
      </c>
      <c r="ER595" s="3">
        <f t="shared" si="451"/>
        <v>0</v>
      </c>
      <c r="ES595" s="3">
        <f t="shared" si="451"/>
        <v>0</v>
      </c>
      <c r="ET595" s="3">
        <f t="shared" si="451"/>
        <v>0</v>
      </c>
      <c r="EU595" s="3">
        <f t="shared" si="451"/>
        <v>0</v>
      </c>
      <c r="EV595" s="3">
        <f t="shared" si="451"/>
        <v>0</v>
      </c>
      <c r="EW595" s="3">
        <f t="shared" si="451"/>
        <v>0</v>
      </c>
      <c r="EX595" s="3">
        <f t="shared" si="451"/>
        <v>0</v>
      </c>
      <c r="EY595" s="3">
        <f t="shared" si="451"/>
        <v>0</v>
      </c>
      <c r="EZ595" s="3">
        <f t="shared" si="451"/>
        <v>0</v>
      </c>
      <c r="FA595" s="3">
        <f t="shared" si="451"/>
        <v>0</v>
      </c>
      <c r="FB595" s="3">
        <f t="shared" si="451"/>
        <v>0</v>
      </c>
      <c r="FC595" s="3">
        <f t="shared" si="451"/>
        <v>0</v>
      </c>
      <c r="FD595" s="3">
        <f t="shared" si="451"/>
        <v>0</v>
      </c>
      <c r="FE595" s="3">
        <f t="shared" si="451"/>
        <v>0</v>
      </c>
      <c r="FF595" s="3">
        <f t="shared" si="451"/>
        <v>0</v>
      </c>
      <c r="FG595" s="3">
        <f t="shared" si="451"/>
        <v>0</v>
      </c>
      <c r="FH595" s="3">
        <f t="shared" si="451"/>
        <v>0</v>
      </c>
      <c r="FI595" s="3">
        <f t="shared" si="451"/>
        <v>0</v>
      </c>
      <c r="FJ595" s="3">
        <f t="shared" si="451"/>
        <v>0</v>
      </c>
      <c r="FK595" s="3">
        <f t="shared" si="451"/>
        <v>0</v>
      </c>
      <c r="FL595" s="3">
        <f t="shared" si="451"/>
        <v>0</v>
      </c>
      <c r="FM595" s="3">
        <f t="shared" si="451"/>
        <v>0</v>
      </c>
      <c r="FN595" s="3">
        <f t="shared" si="451"/>
        <v>0</v>
      </c>
      <c r="FO595" s="3">
        <f t="shared" si="451"/>
        <v>0</v>
      </c>
      <c r="FP595" s="3">
        <f t="shared" si="451"/>
        <v>0</v>
      </c>
      <c r="FQ595" s="3">
        <f t="shared" si="451"/>
        <v>0</v>
      </c>
      <c r="FR595" s="3">
        <f t="shared" si="451"/>
        <v>0</v>
      </c>
      <c r="FS595" s="3">
        <f t="shared" ref="FS595:GX595" si="452">FS618</f>
        <v>0</v>
      </c>
      <c r="FT595" s="3">
        <f t="shared" si="452"/>
        <v>0</v>
      </c>
      <c r="FU595" s="3">
        <f t="shared" si="452"/>
        <v>0</v>
      </c>
      <c r="FV595" s="3">
        <f t="shared" si="452"/>
        <v>0</v>
      </c>
      <c r="FW595" s="3">
        <f t="shared" si="452"/>
        <v>0</v>
      </c>
      <c r="FX595" s="3">
        <f t="shared" si="452"/>
        <v>0</v>
      </c>
      <c r="FY595" s="3">
        <f t="shared" si="452"/>
        <v>0</v>
      </c>
      <c r="FZ595" s="3">
        <f t="shared" si="452"/>
        <v>0</v>
      </c>
      <c r="GA595" s="3">
        <f t="shared" si="452"/>
        <v>0</v>
      </c>
      <c r="GB595" s="3">
        <f t="shared" si="452"/>
        <v>0</v>
      </c>
      <c r="GC595" s="3">
        <f t="shared" si="452"/>
        <v>0</v>
      </c>
      <c r="GD595" s="3">
        <f t="shared" si="452"/>
        <v>0</v>
      </c>
      <c r="GE595" s="3">
        <f t="shared" si="452"/>
        <v>0</v>
      </c>
      <c r="GF595" s="3">
        <f t="shared" si="452"/>
        <v>0</v>
      </c>
      <c r="GG595" s="3">
        <f t="shared" si="452"/>
        <v>0</v>
      </c>
      <c r="GH595" s="3">
        <f t="shared" si="452"/>
        <v>0</v>
      </c>
      <c r="GI595" s="3">
        <f t="shared" si="452"/>
        <v>0</v>
      </c>
      <c r="GJ595" s="3">
        <f t="shared" si="452"/>
        <v>0</v>
      </c>
      <c r="GK595" s="3">
        <f t="shared" si="452"/>
        <v>0</v>
      </c>
      <c r="GL595" s="3">
        <f t="shared" si="452"/>
        <v>0</v>
      </c>
      <c r="GM595" s="3">
        <f t="shared" si="452"/>
        <v>0</v>
      </c>
      <c r="GN595" s="3">
        <f t="shared" si="452"/>
        <v>0</v>
      </c>
      <c r="GO595" s="3">
        <f t="shared" si="452"/>
        <v>0</v>
      </c>
      <c r="GP595" s="3">
        <f t="shared" si="452"/>
        <v>0</v>
      </c>
      <c r="GQ595" s="3">
        <f t="shared" si="452"/>
        <v>0</v>
      </c>
      <c r="GR595" s="3">
        <f t="shared" si="452"/>
        <v>0</v>
      </c>
      <c r="GS595" s="3">
        <f t="shared" si="452"/>
        <v>0</v>
      </c>
      <c r="GT595" s="3">
        <f t="shared" si="452"/>
        <v>0</v>
      </c>
      <c r="GU595" s="3">
        <f t="shared" si="452"/>
        <v>0</v>
      </c>
      <c r="GV595" s="3">
        <f t="shared" si="452"/>
        <v>0</v>
      </c>
      <c r="GW595" s="3">
        <f t="shared" si="452"/>
        <v>0</v>
      </c>
      <c r="GX595" s="3">
        <f t="shared" si="452"/>
        <v>0</v>
      </c>
    </row>
    <row r="597" spans="1:245" x14ac:dyDescent="0.2">
      <c r="A597">
        <v>17</v>
      </c>
      <c r="B597">
        <v>1</v>
      </c>
      <c r="D597">
        <f>ROW(EtalonRes!A334)</f>
        <v>334</v>
      </c>
      <c r="E597" t="s">
        <v>301</v>
      </c>
      <c r="F597" t="s">
        <v>142</v>
      </c>
      <c r="G597" t="s">
        <v>143</v>
      </c>
      <c r="H597" t="s">
        <v>39</v>
      </c>
      <c r="I597">
        <v>5</v>
      </c>
      <c r="J597">
        <v>0</v>
      </c>
      <c r="K597">
        <v>5</v>
      </c>
      <c r="O597">
        <f t="shared" ref="O597:O616" si="453">ROUND(CP597,2)</f>
        <v>13279.1</v>
      </c>
      <c r="P597">
        <f t="shared" ref="P597:P616" si="454">ROUND(CQ597*I597,2)</f>
        <v>3.15</v>
      </c>
      <c r="Q597">
        <f t="shared" ref="Q597:Q616" si="455">ROUND(CR597*I597,2)</f>
        <v>7055.8</v>
      </c>
      <c r="R597">
        <f t="shared" ref="R597:R616" si="456">ROUND(CS597*I597,2)</f>
        <v>4473.8500000000004</v>
      </c>
      <c r="S597">
        <f t="shared" ref="S597:S616" si="457">ROUND(CT597*I597,2)</f>
        <v>6220.15</v>
      </c>
      <c r="T597">
        <f t="shared" ref="T597:T616" si="458">ROUND(CU597*I597,2)</f>
        <v>0</v>
      </c>
      <c r="U597">
        <f t="shared" ref="U597:U616" si="459">CV597*I597</f>
        <v>8.75</v>
      </c>
      <c r="V597">
        <f t="shared" ref="V597:V616" si="460">CW597*I597</f>
        <v>0</v>
      </c>
      <c r="W597">
        <f t="shared" ref="W597:W616" si="461">ROUND(CX597*I597,2)</f>
        <v>0</v>
      </c>
      <c r="X597">
        <f t="shared" ref="X597:X616" si="462">ROUND(CY597,2)</f>
        <v>4354.1099999999997</v>
      </c>
      <c r="Y597">
        <f t="shared" ref="Y597:Y616" si="463">ROUND(CZ597,2)</f>
        <v>622.02</v>
      </c>
      <c r="AA597">
        <v>1471531721</v>
      </c>
      <c r="AB597">
        <f t="shared" ref="AB597:AB616" si="464">ROUND((AC597+AD597+AF597),6)</f>
        <v>2655.82</v>
      </c>
      <c r="AC597">
        <f>ROUND((ES597),6)</f>
        <v>0.63</v>
      </c>
      <c r="AD597">
        <f>ROUND((((ET597)-(EU597))+AE597),6)</f>
        <v>1411.16</v>
      </c>
      <c r="AE597">
        <f>ROUND((EU597),6)</f>
        <v>894.77</v>
      </c>
      <c r="AF597">
        <f>ROUND((EV597),6)</f>
        <v>1244.03</v>
      </c>
      <c r="AG597">
        <f t="shared" ref="AG597:AG616" si="465">ROUND((AP597),6)</f>
        <v>0</v>
      </c>
      <c r="AH597">
        <f>(EW597)</f>
        <v>1.75</v>
      </c>
      <c r="AI597">
        <f>(EX597)</f>
        <v>0</v>
      </c>
      <c r="AJ597">
        <f t="shared" ref="AJ597:AJ616" si="466">(AS597)</f>
        <v>0</v>
      </c>
      <c r="AK597">
        <v>2655.82</v>
      </c>
      <c r="AL597">
        <v>0.63</v>
      </c>
      <c r="AM597">
        <v>1411.16</v>
      </c>
      <c r="AN597">
        <v>894.77</v>
      </c>
      <c r="AO597">
        <v>1244.03</v>
      </c>
      <c r="AP597">
        <v>0</v>
      </c>
      <c r="AQ597">
        <v>1.75</v>
      </c>
      <c r="AR597">
        <v>0</v>
      </c>
      <c r="AS597">
        <v>0</v>
      </c>
      <c r="AT597">
        <v>70</v>
      </c>
      <c r="AU597">
        <v>10</v>
      </c>
      <c r="AV597">
        <v>1</v>
      </c>
      <c r="AW597">
        <v>1</v>
      </c>
      <c r="AZ597">
        <v>1</v>
      </c>
      <c r="BA597">
        <v>1</v>
      </c>
      <c r="BB597">
        <v>1</v>
      </c>
      <c r="BC597">
        <v>1</v>
      </c>
      <c r="BD597" t="s">
        <v>3</v>
      </c>
      <c r="BE597" t="s">
        <v>3</v>
      </c>
      <c r="BF597" t="s">
        <v>3</v>
      </c>
      <c r="BG597" t="s">
        <v>3</v>
      </c>
      <c r="BH597">
        <v>0</v>
      </c>
      <c r="BI597">
        <v>4</v>
      </c>
      <c r="BJ597" t="s">
        <v>144</v>
      </c>
      <c r="BM597">
        <v>0</v>
      </c>
      <c r="BN597">
        <v>0</v>
      </c>
      <c r="BO597" t="s">
        <v>3</v>
      </c>
      <c r="BP597">
        <v>0</v>
      </c>
      <c r="BQ597">
        <v>1</v>
      </c>
      <c r="BR597">
        <v>0</v>
      </c>
      <c r="BS597">
        <v>1</v>
      </c>
      <c r="BT597">
        <v>1</v>
      </c>
      <c r="BU597">
        <v>1</v>
      </c>
      <c r="BV597">
        <v>1</v>
      </c>
      <c r="BW597">
        <v>1</v>
      </c>
      <c r="BX597">
        <v>1</v>
      </c>
      <c r="BY597" t="s">
        <v>3</v>
      </c>
      <c r="BZ597">
        <v>70</v>
      </c>
      <c r="CA597">
        <v>10</v>
      </c>
      <c r="CB597" t="s">
        <v>3</v>
      </c>
      <c r="CE597">
        <v>0</v>
      </c>
      <c r="CF597">
        <v>0</v>
      </c>
      <c r="CG597">
        <v>0</v>
      </c>
      <c r="CM597">
        <v>0</v>
      </c>
      <c r="CN597" t="s">
        <v>3</v>
      </c>
      <c r="CO597">
        <v>0</v>
      </c>
      <c r="CP597">
        <f t="shared" ref="CP597:CP616" si="467">(P597+Q597+S597)</f>
        <v>13279.099999999999</v>
      </c>
      <c r="CQ597">
        <f t="shared" ref="CQ597:CQ616" si="468">(AC597*BC597*AW597)</f>
        <v>0.63</v>
      </c>
      <c r="CR597">
        <f>((((ET597)*BB597-(EU597)*BS597)+AE597*BS597)*AV597)</f>
        <v>1411.16</v>
      </c>
      <c r="CS597">
        <f t="shared" ref="CS597:CS616" si="469">(AE597*BS597*AV597)</f>
        <v>894.77</v>
      </c>
      <c r="CT597">
        <f t="shared" ref="CT597:CT616" si="470">(AF597*BA597*AV597)</f>
        <v>1244.03</v>
      </c>
      <c r="CU597">
        <f t="shared" ref="CU597:CU616" si="471">AG597</f>
        <v>0</v>
      </c>
      <c r="CV597">
        <f t="shared" ref="CV597:CV616" si="472">(AH597*AV597)</f>
        <v>1.75</v>
      </c>
      <c r="CW597">
        <f t="shared" ref="CW597:CW616" si="473">AI597</f>
        <v>0</v>
      </c>
      <c r="CX597">
        <f t="shared" ref="CX597:CX616" si="474">AJ597</f>
        <v>0</v>
      </c>
      <c r="CY597">
        <f t="shared" ref="CY597:CY616" si="475">((S597*BZ597)/100)</f>
        <v>4354.1049999999996</v>
      </c>
      <c r="CZ597">
        <f t="shared" ref="CZ597:CZ616" si="476">((S597*CA597)/100)</f>
        <v>622.01499999999999</v>
      </c>
      <c r="DC597" t="s">
        <v>3</v>
      </c>
      <c r="DD597" t="s">
        <v>3</v>
      </c>
      <c r="DE597" t="s">
        <v>3</v>
      </c>
      <c r="DF597" t="s">
        <v>3</v>
      </c>
      <c r="DG597" t="s">
        <v>3</v>
      </c>
      <c r="DH597" t="s">
        <v>3</v>
      </c>
      <c r="DI597" t="s">
        <v>3</v>
      </c>
      <c r="DJ597" t="s">
        <v>3</v>
      </c>
      <c r="DK597" t="s">
        <v>3</v>
      </c>
      <c r="DL597" t="s">
        <v>3</v>
      </c>
      <c r="DM597" t="s">
        <v>3</v>
      </c>
      <c r="DN597">
        <v>0</v>
      </c>
      <c r="DO597">
        <v>0</v>
      </c>
      <c r="DP597">
        <v>1</v>
      </c>
      <c r="DQ597">
        <v>1</v>
      </c>
      <c r="DU597">
        <v>16987630</v>
      </c>
      <c r="DV597" t="s">
        <v>39</v>
      </c>
      <c r="DW597" t="s">
        <v>39</v>
      </c>
      <c r="DX597">
        <v>1</v>
      </c>
      <c r="DZ597" t="s">
        <v>3</v>
      </c>
      <c r="EA597" t="s">
        <v>3</v>
      </c>
      <c r="EB597" t="s">
        <v>3</v>
      </c>
      <c r="EC597" t="s">
        <v>3</v>
      </c>
      <c r="EE597">
        <v>1441815344</v>
      </c>
      <c r="EF597">
        <v>1</v>
      </c>
      <c r="EG597" t="s">
        <v>21</v>
      </c>
      <c r="EH597">
        <v>0</v>
      </c>
      <c r="EI597" t="s">
        <v>3</v>
      </c>
      <c r="EJ597">
        <v>4</v>
      </c>
      <c r="EK597">
        <v>0</v>
      </c>
      <c r="EL597" t="s">
        <v>22</v>
      </c>
      <c r="EM597" t="s">
        <v>23</v>
      </c>
      <c r="EO597" t="s">
        <v>3</v>
      </c>
      <c r="EQ597">
        <v>0</v>
      </c>
      <c r="ER597">
        <v>2655.82</v>
      </c>
      <c r="ES597">
        <v>0.63</v>
      </c>
      <c r="ET597">
        <v>1411.16</v>
      </c>
      <c r="EU597">
        <v>894.77</v>
      </c>
      <c r="EV597">
        <v>1244.03</v>
      </c>
      <c r="EW597">
        <v>1.75</v>
      </c>
      <c r="EX597">
        <v>0</v>
      </c>
      <c r="EY597">
        <v>0</v>
      </c>
      <c r="FQ597">
        <v>0</v>
      </c>
      <c r="FR597">
        <f t="shared" ref="FR597:FR616" si="477">ROUND(IF(BI597=3,GM597,0),2)</f>
        <v>0</v>
      </c>
      <c r="FS597">
        <v>0</v>
      </c>
      <c r="FX597">
        <v>70</v>
      </c>
      <c r="FY597">
        <v>10</v>
      </c>
      <c r="GA597" t="s">
        <v>3</v>
      </c>
      <c r="GD597">
        <v>0</v>
      </c>
      <c r="GF597">
        <v>-1602766855</v>
      </c>
      <c r="GG597">
        <v>2</v>
      </c>
      <c r="GH597">
        <v>1</v>
      </c>
      <c r="GI597">
        <v>-2</v>
      </c>
      <c r="GJ597">
        <v>0</v>
      </c>
      <c r="GK597">
        <f>ROUND(R597*(R12)/100,2)</f>
        <v>4831.76</v>
      </c>
      <c r="GL597">
        <f t="shared" ref="GL597:GL616" si="478">ROUND(IF(AND(BH597=3,BI597=3,FS597&lt;&gt;0),P597,0),2)</f>
        <v>0</v>
      </c>
      <c r="GM597">
        <f t="shared" ref="GM597:GM616" si="479">ROUND(O597+X597+Y597+GK597,2)+GX597</f>
        <v>23086.99</v>
      </c>
      <c r="GN597">
        <f t="shared" ref="GN597:GN616" si="480">IF(OR(BI597=0,BI597=1),GM597-GX597,0)</f>
        <v>0</v>
      </c>
      <c r="GO597">
        <f t="shared" ref="GO597:GO616" si="481">IF(BI597=2,GM597-GX597,0)</f>
        <v>0</v>
      </c>
      <c r="GP597">
        <f t="shared" ref="GP597:GP616" si="482">IF(BI597=4,GM597-GX597,0)</f>
        <v>23086.99</v>
      </c>
      <c r="GR597">
        <v>0</v>
      </c>
      <c r="GS597">
        <v>3</v>
      </c>
      <c r="GT597">
        <v>0</v>
      </c>
      <c r="GU597" t="s">
        <v>3</v>
      </c>
      <c r="GV597">
        <f t="shared" ref="GV597:GV616" si="483">ROUND((GT597),6)</f>
        <v>0</v>
      </c>
      <c r="GW597">
        <v>1</v>
      </c>
      <c r="GX597">
        <f t="shared" ref="GX597:GX616" si="484">ROUND(HC597*I597,2)</f>
        <v>0</v>
      </c>
      <c r="HA597">
        <v>0</v>
      </c>
      <c r="HB597">
        <v>0</v>
      </c>
      <c r="HC597">
        <f t="shared" ref="HC597:HC616" si="485">GV597*GW597</f>
        <v>0</v>
      </c>
      <c r="HE597" t="s">
        <v>3</v>
      </c>
      <c r="HF597" t="s">
        <v>3</v>
      </c>
      <c r="HM597" t="s">
        <v>3</v>
      </c>
      <c r="HN597" t="s">
        <v>3</v>
      </c>
      <c r="HO597" t="s">
        <v>3</v>
      </c>
      <c r="HP597" t="s">
        <v>3</v>
      </c>
      <c r="HQ597" t="s">
        <v>3</v>
      </c>
      <c r="IK597">
        <v>0</v>
      </c>
    </row>
    <row r="598" spans="1:245" x14ac:dyDescent="0.2">
      <c r="A598">
        <v>17</v>
      </c>
      <c r="B598">
        <v>1</v>
      </c>
      <c r="D598">
        <f>ROW(EtalonRes!A339)</f>
        <v>339</v>
      </c>
      <c r="E598" t="s">
        <v>302</v>
      </c>
      <c r="F598" t="s">
        <v>146</v>
      </c>
      <c r="G598" t="s">
        <v>147</v>
      </c>
      <c r="H598" t="s">
        <v>39</v>
      </c>
      <c r="I598">
        <v>5</v>
      </c>
      <c r="J598">
        <v>0</v>
      </c>
      <c r="K598">
        <v>5</v>
      </c>
      <c r="O598">
        <f t="shared" si="453"/>
        <v>48612.5</v>
      </c>
      <c r="P598">
        <f t="shared" si="454"/>
        <v>29406.7</v>
      </c>
      <c r="Q598">
        <f t="shared" si="455"/>
        <v>132.65</v>
      </c>
      <c r="R598">
        <f t="shared" si="456"/>
        <v>5.65</v>
      </c>
      <c r="S598">
        <f t="shared" si="457"/>
        <v>19073.150000000001</v>
      </c>
      <c r="T598">
        <f t="shared" si="458"/>
        <v>0</v>
      </c>
      <c r="U598">
        <f t="shared" si="459"/>
        <v>28.5</v>
      </c>
      <c r="V598">
        <f t="shared" si="460"/>
        <v>0</v>
      </c>
      <c r="W598">
        <f t="shared" si="461"/>
        <v>0</v>
      </c>
      <c r="X598">
        <f t="shared" si="462"/>
        <v>13351.21</v>
      </c>
      <c r="Y598">
        <f t="shared" si="463"/>
        <v>1907.32</v>
      </c>
      <c r="AA598">
        <v>1471531721</v>
      </c>
      <c r="AB598">
        <f t="shared" si="464"/>
        <v>9722.5</v>
      </c>
      <c r="AC598">
        <f>ROUND((ES598),6)</f>
        <v>5881.34</v>
      </c>
      <c r="AD598">
        <f>ROUND((((ET598)-(EU598))+AE598),6)</f>
        <v>26.53</v>
      </c>
      <c r="AE598">
        <f>ROUND((EU598),6)</f>
        <v>1.1299999999999999</v>
      </c>
      <c r="AF598">
        <f>ROUND((EV598),6)</f>
        <v>3814.63</v>
      </c>
      <c r="AG598">
        <f t="shared" si="465"/>
        <v>0</v>
      </c>
      <c r="AH598">
        <f>(EW598)</f>
        <v>5.7</v>
      </c>
      <c r="AI598">
        <f>(EX598)</f>
        <v>0</v>
      </c>
      <c r="AJ598">
        <f t="shared" si="466"/>
        <v>0</v>
      </c>
      <c r="AK598">
        <v>9722.5</v>
      </c>
      <c r="AL598">
        <v>5881.34</v>
      </c>
      <c r="AM598">
        <v>26.53</v>
      </c>
      <c r="AN598">
        <v>1.1299999999999999</v>
      </c>
      <c r="AO598">
        <v>3814.63</v>
      </c>
      <c r="AP598">
        <v>0</v>
      </c>
      <c r="AQ598">
        <v>5.7</v>
      </c>
      <c r="AR598">
        <v>0</v>
      </c>
      <c r="AS598">
        <v>0</v>
      </c>
      <c r="AT598">
        <v>70</v>
      </c>
      <c r="AU598">
        <v>10</v>
      </c>
      <c r="AV598">
        <v>1</v>
      </c>
      <c r="AW598">
        <v>1</v>
      </c>
      <c r="AZ598">
        <v>1</v>
      </c>
      <c r="BA598">
        <v>1</v>
      </c>
      <c r="BB598">
        <v>1</v>
      </c>
      <c r="BC598">
        <v>1</v>
      </c>
      <c r="BD598" t="s">
        <v>3</v>
      </c>
      <c r="BE598" t="s">
        <v>3</v>
      </c>
      <c r="BF598" t="s">
        <v>3</v>
      </c>
      <c r="BG598" t="s">
        <v>3</v>
      </c>
      <c r="BH598">
        <v>0</v>
      </c>
      <c r="BI598">
        <v>4</v>
      </c>
      <c r="BJ598" t="s">
        <v>148</v>
      </c>
      <c r="BM598">
        <v>0</v>
      </c>
      <c r="BN598">
        <v>0</v>
      </c>
      <c r="BO598" t="s">
        <v>3</v>
      </c>
      <c r="BP598">
        <v>0</v>
      </c>
      <c r="BQ598">
        <v>1</v>
      </c>
      <c r="BR598">
        <v>0</v>
      </c>
      <c r="BS598">
        <v>1</v>
      </c>
      <c r="BT598">
        <v>1</v>
      </c>
      <c r="BU598">
        <v>1</v>
      </c>
      <c r="BV598">
        <v>1</v>
      </c>
      <c r="BW598">
        <v>1</v>
      </c>
      <c r="BX598">
        <v>1</v>
      </c>
      <c r="BY598" t="s">
        <v>3</v>
      </c>
      <c r="BZ598">
        <v>70</v>
      </c>
      <c r="CA598">
        <v>10</v>
      </c>
      <c r="CB598" t="s">
        <v>3</v>
      </c>
      <c r="CE598">
        <v>0</v>
      </c>
      <c r="CF598">
        <v>0</v>
      </c>
      <c r="CG598">
        <v>0</v>
      </c>
      <c r="CM598">
        <v>0</v>
      </c>
      <c r="CN598" t="s">
        <v>3</v>
      </c>
      <c r="CO598">
        <v>0</v>
      </c>
      <c r="CP598">
        <f t="shared" si="467"/>
        <v>48612.5</v>
      </c>
      <c r="CQ598">
        <f t="shared" si="468"/>
        <v>5881.34</v>
      </c>
      <c r="CR598">
        <f>((((ET598)*BB598-(EU598)*BS598)+AE598*BS598)*AV598)</f>
        <v>26.53</v>
      </c>
      <c r="CS598">
        <f t="shared" si="469"/>
        <v>1.1299999999999999</v>
      </c>
      <c r="CT598">
        <f t="shared" si="470"/>
        <v>3814.63</v>
      </c>
      <c r="CU598">
        <f t="shared" si="471"/>
        <v>0</v>
      </c>
      <c r="CV598">
        <f t="shared" si="472"/>
        <v>5.7</v>
      </c>
      <c r="CW598">
        <f t="shared" si="473"/>
        <v>0</v>
      </c>
      <c r="CX598">
        <f t="shared" si="474"/>
        <v>0</v>
      </c>
      <c r="CY598">
        <f t="shared" si="475"/>
        <v>13351.205</v>
      </c>
      <c r="CZ598">
        <f t="shared" si="476"/>
        <v>1907.3150000000001</v>
      </c>
      <c r="DC598" t="s">
        <v>3</v>
      </c>
      <c r="DD598" t="s">
        <v>3</v>
      </c>
      <c r="DE598" t="s">
        <v>3</v>
      </c>
      <c r="DF598" t="s">
        <v>3</v>
      </c>
      <c r="DG598" t="s">
        <v>3</v>
      </c>
      <c r="DH598" t="s">
        <v>3</v>
      </c>
      <c r="DI598" t="s">
        <v>3</v>
      </c>
      <c r="DJ598" t="s">
        <v>3</v>
      </c>
      <c r="DK598" t="s">
        <v>3</v>
      </c>
      <c r="DL598" t="s">
        <v>3</v>
      </c>
      <c r="DM598" t="s">
        <v>3</v>
      </c>
      <c r="DN598">
        <v>0</v>
      </c>
      <c r="DO598">
        <v>0</v>
      </c>
      <c r="DP598">
        <v>1</v>
      </c>
      <c r="DQ598">
        <v>1</v>
      </c>
      <c r="DU598">
        <v>16987630</v>
      </c>
      <c r="DV598" t="s">
        <v>39</v>
      </c>
      <c r="DW598" t="s">
        <v>39</v>
      </c>
      <c r="DX598">
        <v>1</v>
      </c>
      <c r="DZ598" t="s">
        <v>3</v>
      </c>
      <c r="EA598" t="s">
        <v>3</v>
      </c>
      <c r="EB598" t="s">
        <v>3</v>
      </c>
      <c r="EC598" t="s">
        <v>3</v>
      </c>
      <c r="EE598">
        <v>1441815344</v>
      </c>
      <c r="EF598">
        <v>1</v>
      </c>
      <c r="EG598" t="s">
        <v>21</v>
      </c>
      <c r="EH598">
        <v>0</v>
      </c>
      <c r="EI598" t="s">
        <v>3</v>
      </c>
      <c r="EJ598">
        <v>4</v>
      </c>
      <c r="EK598">
        <v>0</v>
      </c>
      <c r="EL598" t="s">
        <v>22</v>
      </c>
      <c r="EM598" t="s">
        <v>23</v>
      </c>
      <c r="EO598" t="s">
        <v>3</v>
      </c>
      <c r="EQ598">
        <v>0</v>
      </c>
      <c r="ER598">
        <v>9722.5</v>
      </c>
      <c r="ES598">
        <v>5881.34</v>
      </c>
      <c r="ET598">
        <v>26.53</v>
      </c>
      <c r="EU598">
        <v>1.1299999999999999</v>
      </c>
      <c r="EV598">
        <v>3814.63</v>
      </c>
      <c r="EW598">
        <v>5.7</v>
      </c>
      <c r="EX598">
        <v>0</v>
      </c>
      <c r="EY598">
        <v>0</v>
      </c>
      <c r="FQ598">
        <v>0</v>
      </c>
      <c r="FR598">
        <f t="shared" si="477"/>
        <v>0</v>
      </c>
      <c r="FS598">
        <v>0</v>
      </c>
      <c r="FX598">
        <v>70</v>
      </c>
      <c r="FY598">
        <v>10</v>
      </c>
      <c r="GA598" t="s">
        <v>3</v>
      </c>
      <c r="GD598">
        <v>0</v>
      </c>
      <c r="GF598">
        <v>-929184264</v>
      </c>
      <c r="GG598">
        <v>2</v>
      </c>
      <c r="GH598">
        <v>1</v>
      </c>
      <c r="GI598">
        <v>-2</v>
      </c>
      <c r="GJ598">
        <v>0</v>
      </c>
      <c r="GK598">
        <f>ROUND(R598*(R12)/100,2)</f>
        <v>6.1</v>
      </c>
      <c r="GL598">
        <f t="shared" si="478"/>
        <v>0</v>
      </c>
      <c r="GM598">
        <f t="shared" si="479"/>
        <v>63877.13</v>
      </c>
      <c r="GN598">
        <f t="shared" si="480"/>
        <v>0</v>
      </c>
      <c r="GO598">
        <f t="shared" si="481"/>
        <v>0</v>
      </c>
      <c r="GP598">
        <f t="shared" si="482"/>
        <v>63877.13</v>
      </c>
      <c r="GR598">
        <v>0</v>
      </c>
      <c r="GS598">
        <v>3</v>
      </c>
      <c r="GT598">
        <v>0</v>
      </c>
      <c r="GU598" t="s">
        <v>3</v>
      </c>
      <c r="GV598">
        <f t="shared" si="483"/>
        <v>0</v>
      </c>
      <c r="GW598">
        <v>1</v>
      </c>
      <c r="GX598">
        <f t="shared" si="484"/>
        <v>0</v>
      </c>
      <c r="HA598">
        <v>0</v>
      </c>
      <c r="HB598">
        <v>0</v>
      </c>
      <c r="HC598">
        <f t="shared" si="485"/>
        <v>0</v>
      </c>
      <c r="HE598" t="s">
        <v>3</v>
      </c>
      <c r="HF598" t="s">
        <v>3</v>
      </c>
      <c r="HM598" t="s">
        <v>3</v>
      </c>
      <c r="HN598" t="s">
        <v>3</v>
      </c>
      <c r="HO598" t="s">
        <v>3</v>
      </c>
      <c r="HP598" t="s">
        <v>3</v>
      </c>
      <c r="HQ598" t="s">
        <v>3</v>
      </c>
      <c r="IK598">
        <v>0</v>
      </c>
    </row>
    <row r="599" spans="1:245" x14ac:dyDescent="0.2">
      <c r="A599">
        <v>17</v>
      </c>
      <c r="B599">
        <v>1</v>
      </c>
      <c r="D599">
        <f>ROW(EtalonRes!A340)</f>
        <v>340</v>
      </c>
      <c r="E599" t="s">
        <v>3</v>
      </c>
      <c r="F599" t="s">
        <v>16</v>
      </c>
      <c r="G599" t="s">
        <v>17</v>
      </c>
      <c r="H599" t="s">
        <v>18</v>
      </c>
      <c r="I599">
        <f>ROUND(5/10,9)</f>
        <v>0.5</v>
      </c>
      <c r="J599">
        <v>0</v>
      </c>
      <c r="K599">
        <f>ROUND(5/10,9)</f>
        <v>0.5</v>
      </c>
      <c r="O599">
        <f t="shared" si="453"/>
        <v>6613.34</v>
      </c>
      <c r="P599">
        <f t="shared" si="454"/>
        <v>0</v>
      </c>
      <c r="Q599">
        <f t="shared" si="455"/>
        <v>0</v>
      </c>
      <c r="R599">
        <f t="shared" si="456"/>
        <v>0</v>
      </c>
      <c r="S599">
        <f t="shared" si="457"/>
        <v>6613.34</v>
      </c>
      <c r="T599">
        <f t="shared" si="458"/>
        <v>0</v>
      </c>
      <c r="U599">
        <f t="shared" si="459"/>
        <v>10.71</v>
      </c>
      <c r="V599">
        <f t="shared" si="460"/>
        <v>0</v>
      </c>
      <c r="W599">
        <f t="shared" si="461"/>
        <v>0</v>
      </c>
      <c r="X599">
        <f t="shared" si="462"/>
        <v>4629.34</v>
      </c>
      <c r="Y599">
        <f t="shared" si="463"/>
        <v>661.33</v>
      </c>
      <c r="AA599">
        <v>-1</v>
      </c>
      <c r="AB599">
        <f t="shared" si="464"/>
        <v>13226.68</v>
      </c>
      <c r="AC599">
        <f>ROUND(((ES599*17)),6)</f>
        <v>0</v>
      </c>
      <c r="AD599">
        <f>ROUND(((((ET599*17))-((EU599*17)))+AE599),6)</f>
        <v>0</v>
      </c>
      <c r="AE599">
        <f>ROUND(((EU599*17)),6)</f>
        <v>0</v>
      </c>
      <c r="AF599">
        <f>ROUND(((EV599*17)),6)</f>
        <v>13226.68</v>
      </c>
      <c r="AG599">
        <f t="shared" si="465"/>
        <v>0</v>
      </c>
      <c r="AH599">
        <f>((EW599*17))</f>
        <v>21.42</v>
      </c>
      <c r="AI599">
        <f>((EX599*17))</f>
        <v>0</v>
      </c>
      <c r="AJ599">
        <f t="shared" si="466"/>
        <v>0</v>
      </c>
      <c r="AK599">
        <v>778.04</v>
      </c>
      <c r="AL599">
        <v>0</v>
      </c>
      <c r="AM599">
        <v>0</v>
      </c>
      <c r="AN599">
        <v>0</v>
      </c>
      <c r="AO599">
        <v>778.04</v>
      </c>
      <c r="AP599">
        <v>0</v>
      </c>
      <c r="AQ599">
        <v>1.26</v>
      </c>
      <c r="AR599">
        <v>0</v>
      </c>
      <c r="AS599">
        <v>0</v>
      </c>
      <c r="AT599">
        <v>70</v>
      </c>
      <c r="AU599">
        <v>10</v>
      </c>
      <c r="AV599">
        <v>1</v>
      </c>
      <c r="AW599">
        <v>1</v>
      </c>
      <c r="AZ599">
        <v>1</v>
      </c>
      <c r="BA599">
        <v>1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19</v>
      </c>
      <c r="BM599">
        <v>0</v>
      </c>
      <c r="BN599">
        <v>0</v>
      </c>
      <c r="BO599" t="s">
        <v>3</v>
      </c>
      <c r="BP599">
        <v>0</v>
      </c>
      <c r="BQ599">
        <v>1</v>
      </c>
      <c r="BR599">
        <v>0</v>
      </c>
      <c r="BS599">
        <v>1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10</v>
      </c>
      <c r="CB599" t="s">
        <v>3</v>
      </c>
      <c r="CE599">
        <v>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si="467"/>
        <v>6613.34</v>
      </c>
      <c r="CQ599">
        <f t="shared" si="468"/>
        <v>0</v>
      </c>
      <c r="CR599">
        <f>(((((ET599*17))*BB599-((EU599*17))*BS599)+AE599*BS599)*AV599)</f>
        <v>0</v>
      </c>
      <c r="CS599">
        <f t="shared" si="469"/>
        <v>0</v>
      </c>
      <c r="CT599">
        <f t="shared" si="470"/>
        <v>13226.68</v>
      </c>
      <c r="CU599">
        <f t="shared" si="471"/>
        <v>0</v>
      </c>
      <c r="CV599">
        <f t="shared" si="472"/>
        <v>21.42</v>
      </c>
      <c r="CW599">
        <f t="shared" si="473"/>
        <v>0</v>
      </c>
      <c r="CX599">
        <f t="shared" si="474"/>
        <v>0</v>
      </c>
      <c r="CY599">
        <f t="shared" si="475"/>
        <v>4629.3379999999997</v>
      </c>
      <c r="CZ599">
        <f t="shared" si="476"/>
        <v>661.33399999999995</v>
      </c>
      <c r="DC599" t="s">
        <v>3</v>
      </c>
      <c r="DD599" t="s">
        <v>20</v>
      </c>
      <c r="DE599" t="s">
        <v>20</v>
      </c>
      <c r="DF599" t="s">
        <v>20</v>
      </c>
      <c r="DG599" t="s">
        <v>20</v>
      </c>
      <c r="DH599" t="s">
        <v>3</v>
      </c>
      <c r="DI599" t="s">
        <v>20</v>
      </c>
      <c r="DJ599" t="s">
        <v>20</v>
      </c>
      <c r="DK599" t="s">
        <v>3</v>
      </c>
      <c r="DL599" t="s">
        <v>3</v>
      </c>
      <c r="DM599" t="s">
        <v>3</v>
      </c>
      <c r="DN599">
        <v>0</v>
      </c>
      <c r="DO599">
        <v>0</v>
      </c>
      <c r="DP599">
        <v>1</v>
      </c>
      <c r="DQ599">
        <v>1</v>
      </c>
      <c r="DU599">
        <v>16987630</v>
      </c>
      <c r="DV599" t="s">
        <v>18</v>
      </c>
      <c r="DW599" t="s">
        <v>18</v>
      </c>
      <c r="DX599">
        <v>10</v>
      </c>
      <c r="DZ599" t="s">
        <v>3</v>
      </c>
      <c r="EA599" t="s">
        <v>3</v>
      </c>
      <c r="EB599" t="s">
        <v>3</v>
      </c>
      <c r="EC599" t="s">
        <v>3</v>
      </c>
      <c r="EE599">
        <v>1441815344</v>
      </c>
      <c r="EF599">
        <v>1</v>
      </c>
      <c r="EG599" t="s">
        <v>21</v>
      </c>
      <c r="EH599">
        <v>0</v>
      </c>
      <c r="EI599" t="s">
        <v>3</v>
      </c>
      <c r="EJ599">
        <v>4</v>
      </c>
      <c r="EK599">
        <v>0</v>
      </c>
      <c r="EL599" t="s">
        <v>22</v>
      </c>
      <c r="EM599" t="s">
        <v>23</v>
      </c>
      <c r="EO599" t="s">
        <v>3</v>
      </c>
      <c r="EQ599">
        <v>1024</v>
      </c>
      <c r="ER599">
        <v>778.04</v>
      </c>
      <c r="ES599">
        <v>0</v>
      </c>
      <c r="ET599">
        <v>0</v>
      </c>
      <c r="EU599">
        <v>0</v>
      </c>
      <c r="EV599">
        <v>778.04</v>
      </c>
      <c r="EW599">
        <v>1.26</v>
      </c>
      <c r="EX599">
        <v>0</v>
      </c>
      <c r="EY599">
        <v>0</v>
      </c>
      <c r="FQ599">
        <v>0</v>
      </c>
      <c r="FR599">
        <f t="shared" si="477"/>
        <v>0</v>
      </c>
      <c r="FS599">
        <v>0</v>
      </c>
      <c r="FX599">
        <v>70</v>
      </c>
      <c r="FY599">
        <v>10</v>
      </c>
      <c r="GA599" t="s">
        <v>3</v>
      </c>
      <c r="GD599">
        <v>0</v>
      </c>
      <c r="GF599">
        <v>1084928283</v>
      </c>
      <c r="GG599">
        <v>2</v>
      </c>
      <c r="GH599">
        <v>1</v>
      </c>
      <c r="GI599">
        <v>-2</v>
      </c>
      <c r="GJ599">
        <v>0</v>
      </c>
      <c r="GK599">
        <f>ROUND(R599*(R12)/100,2)</f>
        <v>0</v>
      </c>
      <c r="GL599">
        <f t="shared" si="478"/>
        <v>0</v>
      </c>
      <c r="GM599">
        <f t="shared" si="479"/>
        <v>11904.01</v>
      </c>
      <c r="GN599">
        <f t="shared" si="480"/>
        <v>0</v>
      </c>
      <c r="GO599">
        <f t="shared" si="481"/>
        <v>0</v>
      </c>
      <c r="GP599">
        <f t="shared" si="482"/>
        <v>11904.01</v>
      </c>
      <c r="GR599">
        <v>0</v>
      </c>
      <c r="GS599">
        <v>3</v>
      </c>
      <c r="GT599">
        <v>0</v>
      </c>
      <c r="GU599" t="s">
        <v>3</v>
      </c>
      <c r="GV599">
        <f t="shared" si="483"/>
        <v>0</v>
      </c>
      <c r="GW599">
        <v>1</v>
      </c>
      <c r="GX599">
        <f t="shared" si="484"/>
        <v>0</v>
      </c>
      <c r="HA599">
        <v>0</v>
      </c>
      <c r="HB599">
        <v>0</v>
      </c>
      <c r="HC599">
        <f t="shared" si="485"/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D600">
        <f>ROW(EtalonRes!A341)</f>
        <v>341</v>
      </c>
      <c r="E600" t="s">
        <v>3</v>
      </c>
      <c r="F600" t="s">
        <v>24</v>
      </c>
      <c r="G600" t="s">
        <v>25</v>
      </c>
      <c r="H600" t="s">
        <v>18</v>
      </c>
      <c r="I600">
        <f>ROUND(23*3/10,9)</f>
        <v>6.9</v>
      </c>
      <c r="J600">
        <v>0</v>
      </c>
      <c r="K600">
        <f>ROUND(23*3/10,9)</f>
        <v>6.9</v>
      </c>
      <c r="O600">
        <f t="shared" si="453"/>
        <v>33317.89</v>
      </c>
      <c r="P600">
        <f t="shared" si="454"/>
        <v>0</v>
      </c>
      <c r="Q600">
        <f t="shared" si="455"/>
        <v>0</v>
      </c>
      <c r="R600">
        <f t="shared" si="456"/>
        <v>0</v>
      </c>
      <c r="S600">
        <f t="shared" si="457"/>
        <v>33317.89</v>
      </c>
      <c r="T600">
        <f t="shared" si="458"/>
        <v>0</v>
      </c>
      <c r="U600">
        <f t="shared" si="459"/>
        <v>53.958000000000006</v>
      </c>
      <c r="V600">
        <f t="shared" si="460"/>
        <v>0</v>
      </c>
      <c r="W600">
        <f t="shared" si="461"/>
        <v>0</v>
      </c>
      <c r="X600">
        <f t="shared" si="462"/>
        <v>23322.52</v>
      </c>
      <c r="Y600">
        <f t="shared" si="463"/>
        <v>3331.79</v>
      </c>
      <c r="AA600">
        <v>-1</v>
      </c>
      <c r="AB600">
        <f t="shared" si="464"/>
        <v>4828.68</v>
      </c>
      <c r="AC600">
        <f>ROUND((ES600),6)</f>
        <v>0</v>
      </c>
      <c r="AD600">
        <f>ROUND(((((ET600*34))-((EU600*34)))+AE600),6)</f>
        <v>0</v>
      </c>
      <c r="AE600">
        <f>ROUND(((EU600*34)),6)</f>
        <v>0</v>
      </c>
      <c r="AF600">
        <f>ROUND(((EV600*34)),6)</f>
        <v>4828.68</v>
      </c>
      <c r="AG600">
        <f t="shared" si="465"/>
        <v>0</v>
      </c>
      <c r="AH600">
        <f>((EW600*34))</f>
        <v>7.82</v>
      </c>
      <c r="AI600">
        <f>((EX600*34))</f>
        <v>0</v>
      </c>
      <c r="AJ600">
        <f t="shared" si="466"/>
        <v>0</v>
      </c>
      <c r="AK600">
        <v>142.02000000000001</v>
      </c>
      <c r="AL600">
        <v>0</v>
      </c>
      <c r="AM600">
        <v>0</v>
      </c>
      <c r="AN600">
        <v>0</v>
      </c>
      <c r="AO600">
        <v>142.02000000000001</v>
      </c>
      <c r="AP600">
        <v>0</v>
      </c>
      <c r="AQ600">
        <v>0.23</v>
      </c>
      <c r="AR600">
        <v>0</v>
      </c>
      <c r="AS600">
        <v>0</v>
      </c>
      <c r="AT600">
        <v>70</v>
      </c>
      <c r="AU600">
        <v>10</v>
      </c>
      <c r="AV600">
        <v>1</v>
      </c>
      <c r="AW600">
        <v>1</v>
      </c>
      <c r="AZ600">
        <v>1</v>
      </c>
      <c r="BA600">
        <v>1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26</v>
      </c>
      <c r="BM600">
        <v>0</v>
      </c>
      <c r="BN600">
        <v>0</v>
      </c>
      <c r="BO600" t="s">
        <v>3</v>
      </c>
      <c r="BP600">
        <v>0</v>
      </c>
      <c r="BQ600">
        <v>1</v>
      </c>
      <c r="BR600">
        <v>0</v>
      </c>
      <c r="BS600">
        <v>1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10</v>
      </c>
      <c r="CB600" t="s">
        <v>3</v>
      </c>
      <c r="CE600">
        <v>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467"/>
        <v>33317.89</v>
      </c>
      <c r="CQ600">
        <f t="shared" si="468"/>
        <v>0</v>
      </c>
      <c r="CR600">
        <f>(((((ET600*34))*BB600-((EU600*34))*BS600)+AE600*BS600)*AV600)</f>
        <v>0</v>
      </c>
      <c r="CS600">
        <f t="shared" si="469"/>
        <v>0</v>
      </c>
      <c r="CT600">
        <f t="shared" si="470"/>
        <v>4828.68</v>
      </c>
      <c r="CU600">
        <f t="shared" si="471"/>
        <v>0</v>
      </c>
      <c r="CV600">
        <f t="shared" si="472"/>
        <v>7.82</v>
      </c>
      <c r="CW600">
        <f t="shared" si="473"/>
        <v>0</v>
      </c>
      <c r="CX600">
        <f t="shared" si="474"/>
        <v>0</v>
      </c>
      <c r="CY600">
        <f t="shared" si="475"/>
        <v>23322.522999999997</v>
      </c>
      <c r="CZ600">
        <f t="shared" si="476"/>
        <v>3331.7890000000002</v>
      </c>
      <c r="DC600" t="s">
        <v>3</v>
      </c>
      <c r="DD600" t="s">
        <v>3</v>
      </c>
      <c r="DE600" t="s">
        <v>27</v>
      </c>
      <c r="DF600" t="s">
        <v>27</v>
      </c>
      <c r="DG600" t="s">
        <v>27</v>
      </c>
      <c r="DH600" t="s">
        <v>3</v>
      </c>
      <c r="DI600" t="s">
        <v>27</v>
      </c>
      <c r="DJ600" t="s">
        <v>27</v>
      </c>
      <c r="DK600" t="s">
        <v>3</v>
      </c>
      <c r="DL600" t="s">
        <v>3</v>
      </c>
      <c r="DM600" t="s">
        <v>3</v>
      </c>
      <c r="DN600">
        <v>0</v>
      </c>
      <c r="DO600">
        <v>0</v>
      </c>
      <c r="DP600">
        <v>1</v>
      </c>
      <c r="DQ600">
        <v>1</v>
      </c>
      <c r="DU600">
        <v>16987630</v>
      </c>
      <c r="DV600" t="s">
        <v>18</v>
      </c>
      <c r="DW600" t="s">
        <v>18</v>
      </c>
      <c r="DX600">
        <v>10</v>
      </c>
      <c r="DZ600" t="s">
        <v>3</v>
      </c>
      <c r="EA600" t="s">
        <v>3</v>
      </c>
      <c r="EB600" t="s">
        <v>3</v>
      </c>
      <c r="EC600" t="s">
        <v>3</v>
      </c>
      <c r="EE600">
        <v>1441815344</v>
      </c>
      <c r="EF600">
        <v>1</v>
      </c>
      <c r="EG600" t="s">
        <v>21</v>
      </c>
      <c r="EH600">
        <v>0</v>
      </c>
      <c r="EI600" t="s">
        <v>3</v>
      </c>
      <c r="EJ600">
        <v>4</v>
      </c>
      <c r="EK600">
        <v>0</v>
      </c>
      <c r="EL600" t="s">
        <v>22</v>
      </c>
      <c r="EM600" t="s">
        <v>23</v>
      </c>
      <c r="EO600" t="s">
        <v>3</v>
      </c>
      <c r="EQ600">
        <v>1024</v>
      </c>
      <c r="ER600">
        <v>142.02000000000001</v>
      </c>
      <c r="ES600">
        <v>0</v>
      </c>
      <c r="ET600">
        <v>0</v>
      </c>
      <c r="EU600">
        <v>0</v>
      </c>
      <c r="EV600">
        <v>142.02000000000001</v>
      </c>
      <c r="EW600">
        <v>0.23</v>
      </c>
      <c r="EX600">
        <v>0</v>
      </c>
      <c r="EY600">
        <v>0</v>
      </c>
      <c r="FQ600">
        <v>0</v>
      </c>
      <c r="FR600">
        <f t="shared" si="477"/>
        <v>0</v>
      </c>
      <c r="FS600">
        <v>0</v>
      </c>
      <c r="FX600">
        <v>70</v>
      </c>
      <c r="FY600">
        <v>10</v>
      </c>
      <c r="GA600" t="s">
        <v>3</v>
      </c>
      <c r="GD600">
        <v>0</v>
      </c>
      <c r="GF600">
        <v>1349611776</v>
      </c>
      <c r="GG600">
        <v>2</v>
      </c>
      <c r="GH600">
        <v>1</v>
      </c>
      <c r="GI600">
        <v>-2</v>
      </c>
      <c r="GJ600">
        <v>0</v>
      </c>
      <c r="GK600">
        <f>ROUND(R600*(R12)/100,2)</f>
        <v>0</v>
      </c>
      <c r="GL600">
        <f t="shared" si="478"/>
        <v>0</v>
      </c>
      <c r="GM600">
        <f t="shared" si="479"/>
        <v>59972.2</v>
      </c>
      <c r="GN600">
        <f t="shared" si="480"/>
        <v>0</v>
      </c>
      <c r="GO600">
        <f t="shared" si="481"/>
        <v>0</v>
      </c>
      <c r="GP600">
        <f t="shared" si="482"/>
        <v>59972.2</v>
      </c>
      <c r="GR600">
        <v>0</v>
      </c>
      <c r="GS600">
        <v>3</v>
      </c>
      <c r="GT600">
        <v>0</v>
      </c>
      <c r="GU600" t="s">
        <v>3</v>
      </c>
      <c r="GV600">
        <f t="shared" si="483"/>
        <v>0</v>
      </c>
      <c r="GW600">
        <v>1</v>
      </c>
      <c r="GX600">
        <f t="shared" si="484"/>
        <v>0</v>
      </c>
      <c r="HA600">
        <v>0</v>
      </c>
      <c r="HB600">
        <v>0</v>
      </c>
      <c r="HC600">
        <f t="shared" si="485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D601">
        <f>ROW(EtalonRes!A346)</f>
        <v>346</v>
      </c>
      <c r="E601" t="s">
        <v>303</v>
      </c>
      <c r="F601" t="s">
        <v>29</v>
      </c>
      <c r="G601" t="s">
        <v>30</v>
      </c>
      <c r="H601" t="s">
        <v>31</v>
      </c>
      <c r="I601">
        <f>ROUND(5/100,9)</f>
        <v>0.05</v>
      </c>
      <c r="J601">
        <v>0</v>
      </c>
      <c r="K601">
        <f>ROUND(5/100,9)</f>
        <v>0.05</v>
      </c>
      <c r="O601">
        <f t="shared" si="453"/>
        <v>2688.69</v>
      </c>
      <c r="P601">
        <f t="shared" si="454"/>
        <v>38.83</v>
      </c>
      <c r="Q601">
        <f t="shared" si="455"/>
        <v>3.09</v>
      </c>
      <c r="R601">
        <f t="shared" si="456"/>
        <v>0.04</v>
      </c>
      <c r="S601">
        <f t="shared" si="457"/>
        <v>2646.77</v>
      </c>
      <c r="T601">
        <f t="shared" si="458"/>
        <v>0</v>
      </c>
      <c r="U601">
        <f t="shared" si="459"/>
        <v>5.2220000000000004</v>
      </c>
      <c r="V601">
        <f t="shared" si="460"/>
        <v>0</v>
      </c>
      <c r="W601">
        <f t="shared" si="461"/>
        <v>0</v>
      </c>
      <c r="X601">
        <f t="shared" si="462"/>
        <v>1852.74</v>
      </c>
      <c r="Y601">
        <f t="shared" si="463"/>
        <v>264.68</v>
      </c>
      <c r="AA601">
        <v>1471531721</v>
      </c>
      <c r="AB601">
        <f t="shared" si="464"/>
        <v>53773.79</v>
      </c>
      <c r="AC601">
        <f>ROUND((ES601),6)</f>
        <v>776.55</v>
      </c>
      <c r="AD601">
        <f>ROUND((((ET601)-(EU601))+AE601),6)</f>
        <v>61.83</v>
      </c>
      <c r="AE601">
        <f>ROUND((EU601),6)</f>
        <v>0.7</v>
      </c>
      <c r="AF601">
        <f>ROUND((EV601),6)</f>
        <v>52935.41</v>
      </c>
      <c r="AG601">
        <f t="shared" si="465"/>
        <v>0</v>
      </c>
      <c r="AH601">
        <f>(EW601)</f>
        <v>104.44</v>
      </c>
      <c r="AI601">
        <f>(EX601)</f>
        <v>0</v>
      </c>
      <c r="AJ601">
        <f t="shared" si="466"/>
        <v>0</v>
      </c>
      <c r="AK601">
        <v>53773.79</v>
      </c>
      <c r="AL601">
        <v>776.55</v>
      </c>
      <c r="AM601">
        <v>61.83</v>
      </c>
      <c r="AN601">
        <v>0.7</v>
      </c>
      <c r="AO601">
        <v>52935.41</v>
      </c>
      <c r="AP601">
        <v>0</v>
      </c>
      <c r="AQ601">
        <v>104.44</v>
      </c>
      <c r="AR601">
        <v>0</v>
      </c>
      <c r="AS601">
        <v>0</v>
      </c>
      <c r="AT601">
        <v>70</v>
      </c>
      <c r="AU601">
        <v>10</v>
      </c>
      <c r="AV601">
        <v>1</v>
      </c>
      <c r="AW601">
        <v>1</v>
      </c>
      <c r="AZ601">
        <v>1</v>
      </c>
      <c r="BA601">
        <v>1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32</v>
      </c>
      <c r="BM601">
        <v>0</v>
      </c>
      <c r="BN601">
        <v>0</v>
      </c>
      <c r="BO601" t="s">
        <v>3</v>
      </c>
      <c r="BP601">
        <v>0</v>
      </c>
      <c r="BQ601">
        <v>1</v>
      </c>
      <c r="BR601">
        <v>0</v>
      </c>
      <c r="BS601">
        <v>1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10</v>
      </c>
      <c r="CB601" t="s">
        <v>3</v>
      </c>
      <c r="CE601">
        <v>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467"/>
        <v>2688.69</v>
      </c>
      <c r="CQ601">
        <f t="shared" si="468"/>
        <v>776.55</v>
      </c>
      <c r="CR601">
        <f>((((ET601)*BB601-(EU601)*BS601)+AE601*BS601)*AV601)</f>
        <v>61.83</v>
      </c>
      <c r="CS601">
        <f t="shared" si="469"/>
        <v>0.7</v>
      </c>
      <c r="CT601">
        <f t="shared" si="470"/>
        <v>52935.41</v>
      </c>
      <c r="CU601">
        <f t="shared" si="471"/>
        <v>0</v>
      </c>
      <c r="CV601">
        <f t="shared" si="472"/>
        <v>104.44</v>
      </c>
      <c r="CW601">
        <f t="shared" si="473"/>
        <v>0</v>
      </c>
      <c r="CX601">
        <f t="shared" si="474"/>
        <v>0</v>
      </c>
      <c r="CY601">
        <f t="shared" si="475"/>
        <v>1852.739</v>
      </c>
      <c r="CZ601">
        <f t="shared" si="476"/>
        <v>264.67700000000002</v>
      </c>
      <c r="DC601" t="s">
        <v>3</v>
      </c>
      <c r="DD601" t="s">
        <v>3</v>
      </c>
      <c r="DE601" t="s">
        <v>3</v>
      </c>
      <c r="DF601" t="s">
        <v>3</v>
      </c>
      <c r="DG601" t="s">
        <v>3</v>
      </c>
      <c r="DH601" t="s">
        <v>3</v>
      </c>
      <c r="DI601" t="s">
        <v>3</v>
      </c>
      <c r="DJ601" t="s">
        <v>3</v>
      </c>
      <c r="DK601" t="s">
        <v>3</v>
      </c>
      <c r="DL601" t="s">
        <v>3</v>
      </c>
      <c r="DM601" t="s">
        <v>3</v>
      </c>
      <c r="DN601">
        <v>0</v>
      </c>
      <c r="DO601">
        <v>0</v>
      </c>
      <c r="DP601">
        <v>1</v>
      </c>
      <c r="DQ601">
        <v>1</v>
      </c>
      <c r="DU601">
        <v>16987630</v>
      </c>
      <c r="DV601" t="s">
        <v>31</v>
      </c>
      <c r="DW601" t="s">
        <v>31</v>
      </c>
      <c r="DX601">
        <v>100</v>
      </c>
      <c r="DZ601" t="s">
        <v>3</v>
      </c>
      <c r="EA601" t="s">
        <v>3</v>
      </c>
      <c r="EB601" t="s">
        <v>3</v>
      </c>
      <c r="EC601" t="s">
        <v>3</v>
      </c>
      <c r="EE601">
        <v>1441815344</v>
      </c>
      <c r="EF601">
        <v>1</v>
      </c>
      <c r="EG601" t="s">
        <v>21</v>
      </c>
      <c r="EH601">
        <v>0</v>
      </c>
      <c r="EI601" t="s">
        <v>3</v>
      </c>
      <c r="EJ601">
        <v>4</v>
      </c>
      <c r="EK601">
        <v>0</v>
      </c>
      <c r="EL601" t="s">
        <v>22</v>
      </c>
      <c r="EM601" t="s">
        <v>23</v>
      </c>
      <c r="EO601" t="s">
        <v>3</v>
      </c>
      <c r="EQ601">
        <v>0</v>
      </c>
      <c r="ER601">
        <v>53773.79</v>
      </c>
      <c r="ES601">
        <v>776.55</v>
      </c>
      <c r="ET601">
        <v>61.83</v>
      </c>
      <c r="EU601">
        <v>0.7</v>
      </c>
      <c r="EV601">
        <v>52935.41</v>
      </c>
      <c r="EW601">
        <v>104.44</v>
      </c>
      <c r="EX601">
        <v>0</v>
      </c>
      <c r="EY601">
        <v>0</v>
      </c>
      <c r="FQ601">
        <v>0</v>
      </c>
      <c r="FR601">
        <f t="shared" si="477"/>
        <v>0</v>
      </c>
      <c r="FS601">
        <v>0</v>
      </c>
      <c r="FX601">
        <v>70</v>
      </c>
      <c r="FY601">
        <v>10</v>
      </c>
      <c r="GA601" t="s">
        <v>3</v>
      </c>
      <c r="GD601">
        <v>0</v>
      </c>
      <c r="GF601">
        <v>-36092940</v>
      </c>
      <c r="GG601">
        <v>2</v>
      </c>
      <c r="GH601">
        <v>1</v>
      </c>
      <c r="GI601">
        <v>-2</v>
      </c>
      <c r="GJ601">
        <v>0</v>
      </c>
      <c r="GK601">
        <f>ROUND(R601*(R12)/100,2)</f>
        <v>0.04</v>
      </c>
      <c r="GL601">
        <f t="shared" si="478"/>
        <v>0</v>
      </c>
      <c r="GM601">
        <f t="shared" si="479"/>
        <v>4806.1499999999996</v>
      </c>
      <c r="GN601">
        <f t="shared" si="480"/>
        <v>0</v>
      </c>
      <c r="GO601">
        <f t="shared" si="481"/>
        <v>0</v>
      </c>
      <c r="GP601">
        <f t="shared" si="482"/>
        <v>4806.1499999999996</v>
      </c>
      <c r="GR601">
        <v>0</v>
      </c>
      <c r="GS601">
        <v>3</v>
      </c>
      <c r="GT601">
        <v>0</v>
      </c>
      <c r="GU601" t="s">
        <v>3</v>
      </c>
      <c r="GV601">
        <f t="shared" si="483"/>
        <v>0</v>
      </c>
      <c r="GW601">
        <v>1</v>
      </c>
      <c r="GX601">
        <f t="shared" si="484"/>
        <v>0</v>
      </c>
      <c r="HA601">
        <v>0</v>
      </c>
      <c r="HB601">
        <v>0</v>
      </c>
      <c r="HC601">
        <f t="shared" si="485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D602">
        <f>ROW(EtalonRes!A351)</f>
        <v>351</v>
      </c>
      <c r="E602" t="s">
        <v>304</v>
      </c>
      <c r="F602" t="s">
        <v>34</v>
      </c>
      <c r="G602" t="s">
        <v>35</v>
      </c>
      <c r="H602" t="s">
        <v>31</v>
      </c>
      <c r="I602">
        <f>ROUND(5/100,9)</f>
        <v>0.05</v>
      </c>
      <c r="J602">
        <v>0</v>
      </c>
      <c r="K602">
        <f>ROUND(5/100,9)</f>
        <v>0.05</v>
      </c>
      <c r="O602">
        <f t="shared" si="453"/>
        <v>3892.21</v>
      </c>
      <c r="P602">
        <f t="shared" si="454"/>
        <v>38.83</v>
      </c>
      <c r="Q602">
        <f t="shared" si="455"/>
        <v>3.09</v>
      </c>
      <c r="R602">
        <f t="shared" si="456"/>
        <v>0.04</v>
      </c>
      <c r="S602">
        <f t="shared" si="457"/>
        <v>3850.29</v>
      </c>
      <c r="T602">
        <f t="shared" si="458"/>
        <v>0</v>
      </c>
      <c r="U602">
        <f t="shared" si="459"/>
        <v>7.5965000000000007</v>
      </c>
      <c r="V602">
        <f t="shared" si="460"/>
        <v>0</v>
      </c>
      <c r="W602">
        <f t="shared" si="461"/>
        <v>0</v>
      </c>
      <c r="X602">
        <f t="shared" si="462"/>
        <v>2695.2</v>
      </c>
      <c r="Y602">
        <f t="shared" si="463"/>
        <v>385.03</v>
      </c>
      <c r="AA602">
        <v>1471531721</v>
      </c>
      <c r="AB602">
        <f t="shared" si="464"/>
        <v>77844.100000000006</v>
      </c>
      <c r="AC602">
        <f>ROUND((ES602),6)</f>
        <v>776.55</v>
      </c>
      <c r="AD602">
        <f>ROUND((((ET602)-(EU602))+AE602),6)</f>
        <v>61.83</v>
      </c>
      <c r="AE602">
        <f>ROUND((EU602),6)</f>
        <v>0.7</v>
      </c>
      <c r="AF602">
        <f>ROUND((EV602),6)</f>
        <v>77005.72</v>
      </c>
      <c r="AG602">
        <f t="shared" si="465"/>
        <v>0</v>
      </c>
      <c r="AH602">
        <f>(EW602)</f>
        <v>151.93</v>
      </c>
      <c r="AI602">
        <f>(EX602)</f>
        <v>0</v>
      </c>
      <c r="AJ602">
        <f t="shared" si="466"/>
        <v>0</v>
      </c>
      <c r="AK602">
        <v>77844.100000000006</v>
      </c>
      <c r="AL602">
        <v>776.55</v>
      </c>
      <c r="AM602">
        <v>61.83</v>
      </c>
      <c r="AN602">
        <v>0.7</v>
      </c>
      <c r="AO602">
        <v>77005.72</v>
      </c>
      <c r="AP602">
        <v>0</v>
      </c>
      <c r="AQ602">
        <v>151.93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36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467"/>
        <v>3892.21</v>
      </c>
      <c r="CQ602">
        <f t="shared" si="468"/>
        <v>776.55</v>
      </c>
      <c r="CR602">
        <f>((((ET602)*BB602-(EU602)*BS602)+AE602*BS602)*AV602)</f>
        <v>61.83</v>
      </c>
      <c r="CS602">
        <f t="shared" si="469"/>
        <v>0.7</v>
      </c>
      <c r="CT602">
        <f t="shared" si="470"/>
        <v>77005.72</v>
      </c>
      <c r="CU602">
        <f t="shared" si="471"/>
        <v>0</v>
      </c>
      <c r="CV602">
        <f t="shared" si="472"/>
        <v>151.93</v>
      </c>
      <c r="CW602">
        <f t="shared" si="473"/>
        <v>0</v>
      </c>
      <c r="CX602">
        <f t="shared" si="474"/>
        <v>0</v>
      </c>
      <c r="CY602">
        <f t="shared" si="475"/>
        <v>2695.203</v>
      </c>
      <c r="CZ602">
        <f t="shared" si="476"/>
        <v>385.029</v>
      </c>
      <c r="DC602" t="s">
        <v>3</v>
      </c>
      <c r="DD602" t="s">
        <v>3</v>
      </c>
      <c r="DE602" t="s">
        <v>3</v>
      </c>
      <c r="DF602" t="s">
        <v>3</v>
      </c>
      <c r="DG602" t="s">
        <v>3</v>
      </c>
      <c r="DH602" t="s">
        <v>3</v>
      </c>
      <c r="DI602" t="s">
        <v>3</v>
      </c>
      <c r="DJ602" t="s">
        <v>3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16987630</v>
      </c>
      <c r="DV602" t="s">
        <v>31</v>
      </c>
      <c r="DW602" t="s">
        <v>31</v>
      </c>
      <c r="DX602">
        <v>100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21</v>
      </c>
      <c r="EH602">
        <v>0</v>
      </c>
      <c r="EI602" t="s">
        <v>3</v>
      </c>
      <c r="EJ602">
        <v>4</v>
      </c>
      <c r="EK602">
        <v>0</v>
      </c>
      <c r="EL602" t="s">
        <v>22</v>
      </c>
      <c r="EM602" t="s">
        <v>23</v>
      </c>
      <c r="EO602" t="s">
        <v>3</v>
      </c>
      <c r="EQ602">
        <v>0</v>
      </c>
      <c r="ER602">
        <v>77844.100000000006</v>
      </c>
      <c r="ES602">
        <v>776.55</v>
      </c>
      <c r="ET602">
        <v>61.83</v>
      </c>
      <c r="EU602">
        <v>0.7</v>
      </c>
      <c r="EV602">
        <v>77005.72</v>
      </c>
      <c r="EW602">
        <v>151.93</v>
      </c>
      <c r="EX602">
        <v>0</v>
      </c>
      <c r="EY602">
        <v>0</v>
      </c>
      <c r="FQ602">
        <v>0</v>
      </c>
      <c r="FR602">
        <f t="shared" si="477"/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1944845796</v>
      </c>
      <c r="GG602">
        <v>2</v>
      </c>
      <c r="GH602">
        <v>1</v>
      </c>
      <c r="GI602">
        <v>-2</v>
      </c>
      <c r="GJ602">
        <v>0</v>
      </c>
      <c r="GK602">
        <f>ROUND(R602*(R12)/100,2)</f>
        <v>0.04</v>
      </c>
      <c r="GL602">
        <f t="shared" si="478"/>
        <v>0</v>
      </c>
      <c r="GM602">
        <f t="shared" si="479"/>
        <v>6972.48</v>
      </c>
      <c r="GN602">
        <f t="shared" si="480"/>
        <v>0</v>
      </c>
      <c r="GO602">
        <f t="shared" si="481"/>
        <v>0</v>
      </c>
      <c r="GP602">
        <f t="shared" si="482"/>
        <v>6972.48</v>
      </c>
      <c r="GR602">
        <v>0</v>
      </c>
      <c r="GS602">
        <v>3</v>
      </c>
      <c r="GT602">
        <v>0</v>
      </c>
      <c r="GU602" t="s">
        <v>3</v>
      </c>
      <c r="GV602">
        <f t="shared" si="483"/>
        <v>0</v>
      </c>
      <c r="GW602">
        <v>1</v>
      </c>
      <c r="GX602">
        <f t="shared" si="484"/>
        <v>0</v>
      </c>
      <c r="HA602">
        <v>0</v>
      </c>
      <c r="HB602">
        <v>0</v>
      </c>
      <c r="HC602">
        <f t="shared" si="485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D603">
        <f>ROW(EtalonRes!A352)</f>
        <v>352</v>
      </c>
      <c r="E603" t="s">
        <v>3</v>
      </c>
      <c r="F603" t="s">
        <v>37</v>
      </c>
      <c r="G603" t="s">
        <v>38</v>
      </c>
      <c r="H603" t="s">
        <v>39</v>
      </c>
      <c r="I603">
        <v>5</v>
      </c>
      <c r="J603">
        <v>0</v>
      </c>
      <c r="K603">
        <v>5</v>
      </c>
      <c r="O603">
        <f t="shared" si="453"/>
        <v>10126.799999999999</v>
      </c>
      <c r="P603">
        <f t="shared" si="454"/>
        <v>0</v>
      </c>
      <c r="Q603">
        <f t="shared" si="455"/>
        <v>0</v>
      </c>
      <c r="R603">
        <f t="shared" si="456"/>
        <v>0</v>
      </c>
      <c r="S603">
        <f t="shared" si="457"/>
        <v>10126.799999999999</v>
      </c>
      <c r="T603">
        <f t="shared" si="458"/>
        <v>0</v>
      </c>
      <c r="U603">
        <f t="shared" si="459"/>
        <v>16.399999999999999</v>
      </c>
      <c r="V603">
        <f t="shared" si="460"/>
        <v>0</v>
      </c>
      <c r="W603">
        <f t="shared" si="461"/>
        <v>0</v>
      </c>
      <c r="X603">
        <f t="shared" si="462"/>
        <v>7088.76</v>
      </c>
      <c r="Y603">
        <f t="shared" si="463"/>
        <v>1012.68</v>
      </c>
      <c r="AA603">
        <v>-1</v>
      </c>
      <c r="AB603">
        <f t="shared" si="464"/>
        <v>2025.36</v>
      </c>
      <c r="AC603">
        <f>ROUND(((ES603*4)),6)</f>
        <v>0</v>
      </c>
      <c r="AD603">
        <f>ROUND(((((ET603*4))-((EU603*4)))+AE603),6)</f>
        <v>0</v>
      </c>
      <c r="AE603">
        <f>ROUND(((EU603*4)),6)</f>
        <v>0</v>
      </c>
      <c r="AF603">
        <f>ROUND(((EV603*4)),6)</f>
        <v>2025.36</v>
      </c>
      <c r="AG603">
        <f t="shared" si="465"/>
        <v>0</v>
      </c>
      <c r="AH603">
        <f>((EW603*4))</f>
        <v>3.28</v>
      </c>
      <c r="AI603">
        <f>((EX603*4))</f>
        <v>0</v>
      </c>
      <c r="AJ603">
        <f t="shared" si="466"/>
        <v>0</v>
      </c>
      <c r="AK603">
        <v>506.34</v>
      </c>
      <c r="AL603">
        <v>0</v>
      </c>
      <c r="AM603">
        <v>0</v>
      </c>
      <c r="AN603">
        <v>0</v>
      </c>
      <c r="AO603">
        <v>506.34</v>
      </c>
      <c r="AP603">
        <v>0</v>
      </c>
      <c r="AQ603">
        <v>0.82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40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467"/>
        <v>10126.799999999999</v>
      </c>
      <c r="CQ603">
        <f t="shared" si="468"/>
        <v>0</v>
      </c>
      <c r="CR603">
        <f>(((((ET603*4))*BB603-((EU603*4))*BS603)+AE603*BS603)*AV603)</f>
        <v>0</v>
      </c>
      <c r="CS603">
        <f t="shared" si="469"/>
        <v>0</v>
      </c>
      <c r="CT603">
        <f t="shared" si="470"/>
        <v>2025.36</v>
      </c>
      <c r="CU603">
        <f t="shared" si="471"/>
        <v>0</v>
      </c>
      <c r="CV603">
        <f t="shared" si="472"/>
        <v>3.28</v>
      </c>
      <c r="CW603">
        <f t="shared" si="473"/>
        <v>0</v>
      </c>
      <c r="CX603">
        <f t="shared" si="474"/>
        <v>0</v>
      </c>
      <c r="CY603">
        <f t="shared" si="475"/>
        <v>7088.76</v>
      </c>
      <c r="CZ603">
        <f t="shared" si="476"/>
        <v>1012.68</v>
      </c>
      <c r="DC603" t="s">
        <v>3</v>
      </c>
      <c r="DD603" t="s">
        <v>57</v>
      </c>
      <c r="DE603" t="s">
        <v>57</v>
      </c>
      <c r="DF603" t="s">
        <v>57</v>
      </c>
      <c r="DG603" t="s">
        <v>57</v>
      </c>
      <c r="DH603" t="s">
        <v>3</v>
      </c>
      <c r="DI603" t="s">
        <v>57</v>
      </c>
      <c r="DJ603" t="s">
        <v>57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39</v>
      </c>
      <c r="DW603" t="s">
        <v>39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21</v>
      </c>
      <c r="EH603">
        <v>0</v>
      </c>
      <c r="EI603" t="s">
        <v>3</v>
      </c>
      <c r="EJ603">
        <v>4</v>
      </c>
      <c r="EK603">
        <v>0</v>
      </c>
      <c r="EL603" t="s">
        <v>22</v>
      </c>
      <c r="EM603" t="s">
        <v>23</v>
      </c>
      <c r="EO603" t="s">
        <v>3</v>
      </c>
      <c r="EQ603">
        <v>1311744</v>
      </c>
      <c r="ER603">
        <v>506.34</v>
      </c>
      <c r="ES603">
        <v>0</v>
      </c>
      <c r="ET603">
        <v>0</v>
      </c>
      <c r="EU603">
        <v>0</v>
      </c>
      <c r="EV603">
        <v>506.34</v>
      </c>
      <c r="EW603">
        <v>0.82</v>
      </c>
      <c r="EX603">
        <v>0</v>
      </c>
      <c r="EY603">
        <v>0</v>
      </c>
      <c r="FQ603">
        <v>0</v>
      </c>
      <c r="FR603">
        <f t="shared" si="477"/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1354931498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 t="shared" si="478"/>
        <v>0</v>
      </c>
      <c r="GM603">
        <f t="shared" si="479"/>
        <v>18228.240000000002</v>
      </c>
      <c r="GN603">
        <f t="shared" si="480"/>
        <v>0</v>
      </c>
      <c r="GO603">
        <f t="shared" si="481"/>
        <v>0</v>
      </c>
      <c r="GP603">
        <f t="shared" si="482"/>
        <v>18228.240000000002</v>
      </c>
      <c r="GR603">
        <v>0</v>
      </c>
      <c r="GS603">
        <v>3</v>
      </c>
      <c r="GT603">
        <v>0</v>
      </c>
      <c r="GU603" t="s">
        <v>3</v>
      </c>
      <c r="GV603">
        <f t="shared" si="483"/>
        <v>0</v>
      </c>
      <c r="GW603">
        <v>1</v>
      </c>
      <c r="GX603">
        <f t="shared" si="484"/>
        <v>0</v>
      </c>
      <c r="HA603">
        <v>0</v>
      </c>
      <c r="HB603">
        <v>0</v>
      </c>
      <c r="HC603">
        <f t="shared" si="485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ROW(EtalonRes!A354)</f>
        <v>354</v>
      </c>
      <c r="E604" t="s">
        <v>305</v>
      </c>
      <c r="F604" t="s">
        <v>42</v>
      </c>
      <c r="G604" t="s">
        <v>43</v>
      </c>
      <c r="H604" t="s">
        <v>39</v>
      </c>
      <c r="I604">
        <v>5</v>
      </c>
      <c r="J604">
        <v>0</v>
      </c>
      <c r="K604">
        <v>5</v>
      </c>
      <c r="O604">
        <f t="shared" si="453"/>
        <v>1430.9</v>
      </c>
      <c r="P604">
        <f t="shared" si="454"/>
        <v>0</v>
      </c>
      <c r="Q604">
        <f t="shared" si="455"/>
        <v>390.9</v>
      </c>
      <c r="R604">
        <f t="shared" si="456"/>
        <v>247.85</v>
      </c>
      <c r="S604">
        <f t="shared" si="457"/>
        <v>1040</v>
      </c>
      <c r="T604">
        <f t="shared" si="458"/>
        <v>0</v>
      </c>
      <c r="U604">
        <f t="shared" si="459"/>
        <v>1.85</v>
      </c>
      <c r="V604">
        <f t="shared" si="460"/>
        <v>0</v>
      </c>
      <c r="W604">
        <f t="shared" si="461"/>
        <v>0</v>
      </c>
      <c r="X604">
        <f t="shared" si="462"/>
        <v>728</v>
      </c>
      <c r="Y604">
        <f t="shared" si="463"/>
        <v>104</v>
      </c>
      <c r="AA604">
        <v>1471531721</v>
      </c>
      <c r="AB604">
        <f t="shared" si="464"/>
        <v>286.18</v>
      </c>
      <c r="AC604">
        <f>ROUND((ES604),6)</f>
        <v>0</v>
      </c>
      <c r="AD604">
        <f>ROUND((((ET604)-(EU604))+AE604),6)</f>
        <v>78.180000000000007</v>
      </c>
      <c r="AE604">
        <f t="shared" ref="AE604:AF606" si="486">ROUND((EU604),6)</f>
        <v>49.57</v>
      </c>
      <c r="AF604">
        <f t="shared" si="486"/>
        <v>208</v>
      </c>
      <c r="AG604">
        <f t="shared" si="465"/>
        <v>0</v>
      </c>
      <c r="AH604">
        <f t="shared" ref="AH604:AI606" si="487">(EW604)</f>
        <v>0.37</v>
      </c>
      <c r="AI604">
        <f t="shared" si="487"/>
        <v>0</v>
      </c>
      <c r="AJ604">
        <f t="shared" si="466"/>
        <v>0</v>
      </c>
      <c r="AK604">
        <v>286.18</v>
      </c>
      <c r="AL604">
        <v>0</v>
      </c>
      <c r="AM604">
        <v>78.180000000000007</v>
      </c>
      <c r="AN604">
        <v>49.57</v>
      </c>
      <c r="AO604">
        <v>208</v>
      </c>
      <c r="AP604">
        <v>0</v>
      </c>
      <c r="AQ604">
        <v>0.37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44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467"/>
        <v>1430.9</v>
      </c>
      <c r="CQ604">
        <f t="shared" si="468"/>
        <v>0</v>
      </c>
      <c r="CR604">
        <f>((((ET604)*BB604-(EU604)*BS604)+AE604*BS604)*AV604)</f>
        <v>78.180000000000007</v>
      </c>
      <c r="CS604">
        <f t="shared" si="469"/>
        <v>49.57</v>
      </c>
      <c r="CT604">
        <f t="shared" si="470"/>
        <v>208</v>
      </c>
      <c r="CU604">
        <f t="shared" si="471"/>
        <v>0</v>
      </c>
      <c r="CV604">
        <f t="shared" si="472"/>
        <v>0.37</v>
      </c>
      <c r="CW604">
        <f t="shared" si="473"/>
        <v>0</v>
      </c>
      <c r="CX604">
        <f t="shared" si="474"/>
        <v>0</v>
      </c>
      <c r="CY604">
        <f t="shared" si="475"/>
        <v>728</v>
      </c>
      <c r="CZ604">
        <f t="shared" si="476"/>
        <v>104</v>
      </c>
      <c r="DC604" t="s">
        <v>3</v>
      </c>
      <c r="DD604" t="s">
        <v>3</v>
      </c>
      <c r="DE604" t="s">
        <v>3</v>
      </c>
      <c r="DF604" t="s">
        <v>3</v>
      </c>
      <c r="DG604" t="s">
        <v>3</v>
      </c>
      <c r="DH604" t="s">
        <v>3</v>
      </c>
      <c r="DI604" t="s">
        <v>3</v>
      </c>
      <c r="DJ604" t="s">
        <v>3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39</v>
      </c>
      <c r="DW604" t="s">
        <v>39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21</v>
      </c>
      <c r="EH604">
        <v>0</v>
      </c>
      <c r="EI604" t="s">
        <v>3</v>
      </c>
      <c r="EJ604">
        <v>4</v>
      </c>
      <c r="EK604">
        <v>0</v>
      </c>
      <c r="EL604" t="s">
        <v>22</v>
      </c>
      <c r="EM604" t="s">
        <v>23</v>
      </c>
      <c r="EO604" t="s">
        <v>3</v>
      </c>
      <c r="EQ604">
        <v>0</v>
      </c>
      <c r="ER604">
        <v>286.18</v>
      </c>
      <c r="ES604">
        <v>0</v>
      </c>
      <c r="ET604">
        <v>78.180000000000007</v>
      </c>
      <c r="EU604">
        <v>49.57</v>
      </c>
      <c r="EV604">
        <v>208</v>
      </c>
      <c r="EW604">
        <v>0.37</v>
      </c>
      <c r="EX604">
        <v>0</v>
      </c>
      <c r="EY604">
        <v>0</v>
      </c>
      <c r="FQ604">
        <v>0</v>
      </c>
      <c r="FR604">
        <f t="shared" si="477"/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1694456522</v>
      </c>
      <c r="GG604">
        <v>2</v>
      </c>
      <c r="GH604">
        <v>1</v>
      </c>
      <c r="GI604">
        <v>-2</v>
      </c>
      <c r="GJ604">
        <v>0</v>
      </c>
      <c r="GK604">
        <f>ROUND(R604*(R12)/100,2)</f>
        <v>267.68</v>
      </c>
      <c r="GL604">
        <f t="shared" si="478"/>
        <v>0</v>
      </c>
      <c r="GM604">
        <f t="shared" si="479"/>
        <v>2530.58</v>
      </c>
      <c r="GN604">
        <f t="shared" si="480"/>
        <v>0</v>
      </c>
      <c r="GO604">
        <f t="shared" si="481"/>
        <v>0</v>
      </c>
      <c r="GP604">
        <f t="shared" si="482"/>
        <v>2530.58</v>
      </c>
      <c r="GR604">
        <v>0</v>
      </c>
      <c r="GS604">
        <v>3</v>
      </c>
      <c r="GT604">
        <v>0</v>
      </c>
      <c r="GU604" t="s">
        <v>3</v>
      </c>
      <c r="GV604">
        <f t="shared" si="483"/>
        <v>0</v>
      </c>
      <c r="GW604">
        <v>1</v>
      </c>
      <c r="GX604">
        <f t="shared" si="484"/>
        <v>0</v>
      </c>
      <c r="HA604">
        <v>0</v>
      </c>
      <c r="HB604">
        <v>0</v>
      </c>
      <c r="HC604">
        <f t="shared" si="485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ROW(EtalonRes!A355)</f>
        <v>355</v>
      </c>
      <c r="E605" t="s">
        <v>306</v>
      </c>
      <c r="F605" t="s">
        <v>46</v>
      </c>
      <c r="G605" t="s">
        <v>47</v>
      </c>
      <c r="H605" t="s">
        <v>48</v>
      </c>
      <c r="I605">
        <f>ROUND(5/100,9)</f>
        <v>0.05</v>
      </c>
      <c r="J605">
        <v>0</v>
      </c>
      <c r="K605">
        <f>ROUND(5/100,9)</f>
        <v>0.05</v>
      </c>
      <c r="O605">
        <f t="shared" si="453"/>
        <v>794.81</v>
      </c>
      <c r="P605">
        <f t="shared" si="454"/>
        <v>0</v>
      </c>
      <c r="Q605">
        <f t="shared" si="455"/>
        <v>0</v>
      </c>
      <c r="R605">
        <f t="shared" si="456"/>
        <v>0</v>
      </c>
      <c r="S605">
        <f t="shared" si="457"/>
        <v>794.81</v>
      </c>
      <c r="T605">
        <f t="shared" si="458"/>
        <v>0</v>
      </c>
      <c r="U605">
        <f t="shared" si="459"/>
        <v>1.335</v>
      </c>
      <c r="V605">
        <f t="shared" si="460"/>
        <v>0</v>
      </c>
      <c r="W605">
        <f t="shared" si="461"/>
        <v>0</v>
      </c>
      <c r="X605">
        <f t="shared" si="462"/>
        <v>556.37</v>
      </c>
      <c r="Y605">
        <f t="shared" si="463"/>
        <v>79.48</v>
      </c>
      <c r="AA605">
        <v>1471531721</v>
      </c>
      <c r="AB605">
        <f t="shared" si="464"/>
        <v>15896.11</v>
      </c>
      <c r="AC605">
        <f>ROUND((ES605),6)</f>
        <v>0</v>
      </c>
      <c r="AD605">
        <f>ROUND((((ET605)-(EU605))+AE605),6)</f>
        <v>0</v>
      </c>
      <c r="AE605">
        <f t="shared" si="486"/>
        <v>0</v>
      </c>
      <c r="AF605">
        <f t="shared" si="486"/>
        <v>15896.11</v>
      </c>
      <c r="AG605">
        <f t="shared" si="465"/>
        <v>0</v>
      </c>
      <c r="AH605">
        <f t="shared" si="487"/>
        <v>26.7</v>
      </c>
      <c r="AI605">
        <f t="shared" si="487"/>
        <v>0</v>
      </c>
      <c r="AJ605">
        <f t="shared" si="466"/>
        <v>0</v>
      </c>
      <c r="AK605">
        <v>15896.11</v>
      </c>
      <c r="AL605">
        <v>0</v>
      </c>
      <c r="AM605">
        <v>0</v>
      </c>
      <c r="AN605">
        <v>0</v>
      </c>
      <c r="AO605">
        <v>15896.11</v>
      </c>
      <c r="AP605">
        <v>0</v>
      </c>
      <c r="AQ605">
        <v>26.7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49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si="467"/>
        <v>794.81</v>
      </c>
      <c r="CQ605">
        <f t="shared" si="468"/>
        <v>0</v>
      </c>
      <c r="CR605">
        <f>((((ET605)*BB605-(EU605)*BS605)+AE605*BS605)*AV605)</f>
        <v>0</v>
      </c>
      <c r="CS605">
        <f t="shared" si="469"/>
        <v>0</v>
      </c>
      <c r="CT605">
        <f t="shared" si="470"/>
        <v>15896.11</v>
      </c>
      <c r="CU605">
        <f t="shared" si="471"/>
        <v>0</v>
      </c>
      <c r="CV605">
        <f t="shared" si="472"/>
        <v>26.7</v>
      </c>
      <c r="CW605">
        <f t="shared" si="473"/>
        <v>0</v>
      </c>
      <c r="CX605">
        <f t="shared" si="474"/>
        <v>0</v>
      </c>
      <c r="CY605">
        <f t="shared" si="475"/>
        <v>556.36699999999996</v>
      </c>
      <c r="CZ605">
        <f t="shared" si="476"/>
        <v>79.480999999999995</v>
      </c>
      <c r="DC605" t="s">
        <v>3</v>
      </c>
      <c r="DD605" t="s">
        <v>3</v>
      </c>
      <c r="DE605" t="s">
        <v>3</v>
      </c>
      <c r="DF605" t="s">
        <v>3</v>
      </c>
      <c r="DG605" t="s">
        <v>3</v>
      </c>
      <c r="DH605" t="s">
        <v>3</v>
      </c>
      <c r="DI605" t="s">
        <v>3</v>
      </c>
      <c r="DJ605" t="s">
        <v>3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1013</v>
      </c>
      <c r="DV605" t="s">
        <v>48</v>
      </c>
      <c r="DW605" t="s">
        <v>48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21</v>
      </c>
      <c r="EH605">
        <v>0</v>
      </c>
      <c r="EI605" t="s">
        <v>3</v>
      </c>
      <c r="EJ605">
        <v>4</v>
      </c>
      <c r="EK605">
        <v>0</v>
      </c>
      <c r="EL605" t="s">
        <v>22</v>
      </c>
      <c r="EM605" t="s">
        <v>23</v>
      </c>
      <c r="EO605" t="s">
        <v>3</v>
      </c>
      <c r="EQ605">
        <v>0</v>
      </c>
      <c r="ER605">
        <v>15896.11</v>
      </c>
      <c r="ES605">
        <v>0</v>
      </c>
      <c r="ET605">
        <v>0</v>
      </c>
      <c r="EU605">
        <v>0</v>
      </c>
      <c r="EV605">
        <v>15896.11</v>
      </c>
      <c r="EW605">
        <v>26.7</v>
      </c>
      <c r="EX605">
        <v>0</v>
      </c>
      <c r="EY605">
        <v>0</v>
      </c>
      <c r="FQ605">
        <v>0</v>
      </c>
      <c r="FR605">
        <f t="shared" si="477"/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-1089660975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 t="shared" si="478"/>
        <v>0</v>
      </c>
      <c r="GM605">
        <f t="shared" si="479"/>
        <v>1430.66</v>
      </c>
      <c r="GN605">
        <f t="shared" si="480"/>
        <v>0</v>
      </c>
      <c r="GO605">
        <f t="shared" si="481"/>
        <v>0</v>
      </c>
      <c r="GP605">
        <f t="shared" si="482"/>
        <v>1430.66</v>
      </c>
      <c r="GR605">
        <v>0</v>
      </c>
      <c r="GS605">
        <v>3</v>
      </c>
      <c r="GT605">
        <v>0</v>
      </c>
      <c r="GU605" t="s">
        <v>3</v>
      </c>
      <c r="GV605">
        <f t="shared" si="483"/>
        <v>0</v>
      </c>
      <c r="GW605">
        <v>1</v>
      </c>
      <c r="GX605">
        <f t="shared" si="484"/>
        <v>0</v>
      </c>
      <c r="HA605">
        <v>0</v>
      </c>
      <c r="HB605">
        <v>0</v>
      </c>
      <c r="HC605">
        <f t="shared" si="485"/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ROW(EtalonRes!A357)</f>
        <v>357</v>
      </c>
      <c r="E606" t="s">
        <v>307</v>
      </c>
      <c r="F606" t="s">
        <v>51</v>
      </c>
      <c r="G606" t="s">
        <v>52</v>
      </c>
      <c r="H606" t="s">
        <v>31</v>
      </c>
      <c r="I606">
        <f>ROUND(5/100,9)</f>
        <v>0.05</v>
      </c>
      <c r="J606">
        <v>0</v>
      </c>
      <c r="K606">
        <f>ROUND(5/100,9)</f>
        <v>0.05</v>
      </c>
      <c r="O606">
        <f t="shared" si="453"/>
        <v>722.28</v>
      </c>
      <c r="P606">
        <f t="shared" si="454"/>
        <v>12.18</v>
      </c>
      <c r="Q606">
        <f t="shared" si="455"/>
        <v>0</v>
      </c>
      <c r="R606">
        <f t="shared" si="456"/>
        <v>0</v>
      </c>
      <c r="S606">
        <f t="shared" si="457"/>
        <v>710.1</v>
      </c>
      <c r="T606">
        <f t="shared" si="458"/>
        <v>0</v>
      </c>
      <c r="U606">
        <f t="shared" si="459"/>
        <v>1.401</v>
      </c>
      <c r="V606">
        <f t="shared" si="460"/>
        <v>0</v>
      </c>
      <c r="W606">
        <f t="shared" si="461"/>
        <v>0</v>
      </c>
      <c r="X606">
        <f t="shared" si="462"/>
        <v>497.07</v>
      </c>
      <c r="Y606">
        <f t="shared" si="463"/>
        <v>71.010000000000005</v>
      </c>
      <c r="AA606">
        <v>1471531721</v>
      </c>
      <c r="AB606">
        <f t="shared" si="464"/>
        <v>14445.51</v>
      </c>
      <c r="AC606">
        <f>ROUND((ES606),6)</f>
        <v>243.57</v>
      </c>
      <c r="AD606">
        <f>ROUND((((ET606)-(EU606))+AE606),6)</f>
        <v>0</v>
      </c>
      <c r="AE606">
        <f t="shared" si="486"/>
        <v>0</v>
      </c>
      <c r="AF606">
        <f t="shared" si="486"/>
        <v>14201.94</v>
      </c>
      <c r="AG606">
        <f t="shared" si="465"/>
        <v>0</v>
      </c>
      <c r="AH606">
        <f t="shared" si="487"/>
        <v>28.02</v>
      </c>
      <c r="AI606">
        <f t="shared" si="487"/>
        <v>0</v>
      </c>
      <c r="AJ606">
        <f t="shared" si="466"/>
        <v>0</v>
      </c>
      <c r="AK606">
        <v>14445.51</v>
      </c>
      <c r="AL606">
        <v>243.57</v>
      </c>
      <c r="AM606">
        <v>0</v>
      </c>
      <c r="AN606">
        <v>0</v>
      </c>
      <c r="AO606">
        <v>14201.94</v>
      </c>
      <c r="AP606">
        <v>0</v>
      </c>
      <c r="AQ606">
        <v>28.02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53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467"/>
        <v>722.28</v>
      </c>
      <c r="CQ606">
        <f t="shared" si="468"/>
        <v>243.57</v>
      </c>
      <c r="CR606">
        <f>((((ET606)*BB606-(EU606)*BS606)+AE606*BS606)*AV606)</f>
        <v>0</v>
      </c>
      <c r="CS606">
        <f t="shared" si="469"/>
        <v>0</v>
      </c>
      <c r="CT606">
        <f t="shared" si="470"/>
        <v>14201.94</v>
      </c>
      <c r="CU606">
        <f t="shared" si="471"/>
        <v>0</v>
      </c>
      <c r="CV606">
        <f t="shared" si="472"/>
        <v>28.02</v>
      </c>
      <c r="CW606">
        <f t="shared" si="473"/>
        <v>0</v>
      </c>
      <c r="CX606">
        <f t="shared" si="474"/>
        <v>0</v>
      </c>
      <c r="CY606">
        <f t="shared" si="475"/>
        <v>497.07</v>
      </c>
      <c r="CZ606">
        <f t="shared" si="476"/>
        <v>71.010000000000005</v>
      </c>
      <c r="DC606" t="s">
        <v>3</v>
      </c>
      <c r="DD606" t="s">
        <v>3</v>
      </c>
      <c r="DE606" t="s">
        <v>3</v>
      </c>
      <c r="DF606" t="s">
        <v>3</v>
      </c>
      <c r="DG606" t="s">
        <v>3</v>
      </c>
      <c r="DH606" t="s">
        <v>3</v>
      </c>
      <c r="DI606" t="s">
        <v>3</v>
      </c>
      <c r="DJ606" t="s">
        <v>3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31</v>
      </c>
      <c r="DW606" t="s">
        <v>31</v>
      </c>
      <c r="DX606">
        <v>100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21</v>
      </c>
      <c r="EH606">
        <v>0</v>
      </c>
      <c r="EI606" t="s">
        <v>3</v>
      </c>
      <c r="EJ606">
        <v>4</v>
      </c>
      <c r="EK606">
        <v>0</v>
      </c>
      <c r="EL606" t="s">
        <v>22</v>
      </c>
      <c r="EM606" t="s">
        <v>23</v>
      </c>
      <c r="EO606" t="s">
        <v>3</v>
      </c>
      <c r="EQ606">
        <v>0</v>
      </c>
      <c r="ER606">
        <v>14445.51</v>
      </c>
      <c r="ES606">
        <v>243.57</v>
      </c>
      <c r="ET606">
        <v>0</v>
      </c>
      <c r="EU606">
        <v>0</v>
      </c>
      <c r="EV606">
        <v>14201.94</v>
      </c>
      <c r="EW606">
        <v>28.02</v>
      </c>
      <c r="EX606">
        <v>0</v>
      </c>
      <c r="EY606">
        <v>0</v>
      </c>
      <c r="FQ606">
        <v>0</v>
      </c>
      <c r="FR606">
        <f t="shared" si="477"/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1586733399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 t="shared" si="478"/>
        <v>0</v>
      </c>
      <c r="GM606">
        <f t="shared" si="479"/>
        <v>1290.3599999999999</v>
      </c>
      <c r="GN606">
        <f t="shared" si="480"/>
        <v>0</v>
      </c>
      <c r="GO606">
        <f t="shared" si="481"/>
        <v>0</v>
      </c>
      <c r="GP606">
        <f t="shared" si="482"/>
        <v>1290.3599999999999</v>
      </c>
      <c r="GR606">
        <v>0</v>
      </c>
      <c r="GS606">
        <v>3</v>
      </c>
      <c r="GT606">
        <v>0</v>
      </c>
      <c r="GU606" t="s">
        <v>3</v>
      </c>
      <c r="GV606">
        <f t="shared" si="483"/>
        <v>0</v>
      </c>
      <c r="GW606">
        <v>1</v>
      </c>
      <c r="GX606">
        <f t="shared" si="484"/>
        <v>0</v>
      </c>
      <c r="HA606">
        <v>0</v>
      </c>
      <c r="HB606">
        <v>0</v>
      </c>
      <c r="HC606">
        <f t="shared" si="485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ROW(EtalonRes!A358)</f>
        <v>358</v>
      </c>
      <c r="E607" t="s">
        <v>3</v>
      </c>
      <c r="F607" t="s">
        <v>54</v>
      </c>
      <c r="G607" t="s">
        <v>55</v>
      </c>
      <c r="H607" t="s">
        <v>39</v>
      </c>
      <c r="I607">
        <v>5</v>
      </c>
      <c r="J607">
        <v>0</v>
      </c>
      <c r="K607">
        <v>5</v>
      </c>
      <c r="O607">
        <f t="shared" si="453"/>
        <v>1605.4</v>
      </c>
      <c r="P607">
        <f t="shared" si="454"/>
        <v>0</v>
      </c>
      <c r="Q607">
        <f t="shared" si="455"/>
        <v>0</v>
      </c>
      <c r="R607">
        <f t="shared" si="456"/>
        <v>0</v>
      </c>
      <c r="S607">
        <f t="shared" si="457"/>
        <v>1605.4</v>
      </c>
      <c r="T607">
        <f t="shared" si="458"/>
        <v>0</v>
      </c>
      <c r="U607">
        <f t="shared" si="459"/>
        <v>2.6</v>
      </c>
      <c r="V607">
        <f t="shared" si="460"/>
        <v>0</v>
      </c>
      <c r="W607">
        <f t="shared" si="461"/>
        <v>0</v>
      </c>
      <c r="X607">
        <f t="shared" si="462"/>
        <v>1123.78</v>
      </c>
      <c r="Y607">
        <f t="shared" si="463"/>
        <v>160.54</v>
      </c>
      <c r="AA607">
        <v>-1</v>
      </c>
      <c r="AB607">
        <f t="shared" si="464"/>
        <v>321.08</v>
      </c>
      <c r="AC607">
        <f>ROUND(((ES607*4)),6)</f>
        <v>0</v>
      </c>
      <c r="AD607">
        <f>ROUND(((((ET607*4))-((EU607*4)))+AE607),6)</f>
        <v>0</v>
      </c>
      <c r="AE607">
        <f>ROUND(((EU607*4)),6)</f>
        <v>0</v>
      </c>
      <c r="AF607">
        <f>ROUND(((EV607*4)),6)</f>
        <v>321.08</v>
      </c>
      <c r="AG607">
        <f t="shared" si="465"/>
        <v>0</v>
      </c>
      <c r="AH607">
        <f>((EW607*4))</f>
        <v>0.52</v>
      </c>
      <c r="AI607">
        <f>((EX607*4))</f>
        <v>0</v>
      </c>
      <c r="AJ607">
        <f t="shared" si="466"/>
        <v>0</v>
      </c>
      <c r="AK607">
        <v>80.27</v>
      </c>
      <c r="AL607">
        <v>0</v>
      </c>
      <c r="AM607">
        <v>0</v>
      </c>
      <c r="AN607">
        <v>0</v>
      </c>
      <c r="AO607">
        <v>80.27</v>
      </c>
      <c r="AP607">
        <v>0</v>
      </c>
      <c r="AQ607">
        <v>0.13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56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467"/>
        <v>1605.4</v>
      </c>
      <c r="CQ607">
        <f t="shared" si="468"/>
        <v>0</v>
      </c>
      <c r="CR607">
        <f>(((((ET607*4))*BB607-((EU607*4))*BS607)+AE607*BS607)*AV607)</f>
        <v>0</v>
      </c>
      <c r="CS607">
        <f t="shared" si="469"/>
        <v>0</v>
      </c>
      <c r="CT607">
        <f t="shared" si="470"/>
        <v>321.08</v>
      </c>
      <c r="CU607">
        <f t="shared" si="471"/>
        <v>0</v>
      </c>
      <c r="CV607">
        <f t="shared" si="472"/>
        <v>0.52</v>
      </c>
      <c r="CW607">
        <f t="shared" si="473"/>
        <v>0</v>
      </c>
      <c r="CX607">
        <f t="shared" si="474"/>
        <v>0</v>
      </c>
      <c r="CY607">
        <f t="shared" si="475"/>
        <v>1123.78</v>
      </c>
      <c r="CZ607">
        <f t="shared" si="476"/>
        <v>160.54</v>
      </c>
      <c r="DC607" t="s">
        <v>3</v>
      </c>
      <c r="DD607" t="s">
        <v>57</v>
      </c>
      <c r="DE607" t="s">
        <v>57</v>
      </c>
      <c r="DF607" t="s">
        <v>57</v>
      </c>
      <c r="DG607" t="s">
        <v>57</v>
      </c>
      <c r="DH607" t="s">
        <v>3</v>
      </c>
      <c r="DI607" t="s">
        <v>57</v>
      </c>
      <c r="DJ607" t="s">
        <v>57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39</v>
      </c>
      <c r="DW607" t="s">
        <v>39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21</v>
      </c>
      <c r="EH607">
        <v>0</v>
      </c>
      <c r="EI607" t="s">
        <v>3</v>
      </c>
      <c r="EJ607">
        <v>4</v>
      </c>
      <c r="EK607">
        <v>0</v>
      </c>
      <c r="EL607" t="s">
        <v>22</v>
      </c>
      <c r="EM607" t="s">
        <v>23</v>
      </c>
      <c r="EO607" t="s">
        <v>3</v>
      </c>
      <c r="EQ607">
        <v>1024</v>
      </c>
      <c r="ER607">
        <v>80.27</v>
      </c>
      <c r="ES607">
        <v>0</v>
      </c>
      <c r="ET607">
        <v>0</v>
      </c>
      <c r="EU607">
        <v>0</v>
      </c>
      <c r="EV607">
        <v>80.27</v>
      </c>
      <c r="EW607">
        <v>0.13</v>
      </c>
      <c r="EX607">
        <v>0</v>
      </c>
      <c r="EY607">
        <v>0</v>
      </c>
      <c r="FQ607">
        <v>0</v>
      </c>
      <c r="FR607">
        <f t="shared" si="477"/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1384570016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 t="shared" si="478"/>
        <v>0</v>
      </c>
      <c r="GM607">
        <f t="shared" si="479"/>
        <v>2889.72</v>
      </c>
      <c r="GN607">
        <f t="shared" si="480"/>
        <v>0</v>
      </c>
      <c r="GO607">
        <f t="shared" si="481"/>
        <v>0</v>
      </c>
      <c r="GP607">
        <f t="shared" si="482"/>
        <v>2889.72</v>
      </c>
      <c r="GR607">
        <v>0</v>
      </c>
      <c r="GS607">
        <v>3</v>
      </c>
      <c r="GT607">
        <v>0</v>
      </c>
      <c r="GU607" t="s">
        <v>3</v>
      </c>
      <c r="GV607">
        <f t="shared" si="483"/>
        <v>0</v>
      </c>
      <c r="GW607">
        <v>1</v>
      </c>
      <c r="GX607">
        <f t="shared" si="484"/>
        <v>0</v>
      </c>
      <c r="HA607">
        <v>0</v>
      </c>
      <c r="HB607">
        <v>0</v>
      </c>
      <c r="HC607">
        <f t="shared" si="485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D608">
        <f>ROW(EtalonRes!A362)</f>
        <v>362</v>
      </c>
      <c r="E608" t="s">
        <v>3</v>
      </c>
      <c r="F608" t="s">
        <v>58</v>
      </c>
      <c r="G608" t="s">
        <v>59</v>
      </c>
      <c r="H608" t="s">
        <v>60</v>
      </c>
      <c r="I608">
        <f>ROUND((8)*5*0.1/100,9)</f>
        <v>0.04</v>
      </c>
      <c r="J608">
        <v>0</v>
      </c>
      <c r="K608">
        <f>ROUND((8)*5*0.1/100,9)</f>
        <v>0.04</v>
      </c>
      <c r="O608">
        <f t="shared" si="453"/>
        <v>676.3</v>
      </c>
      <c r="P608">
        <f t="shared" si="454"/>
        <v>109.13</v>
      </c>
      <c r="Q608">
        <f t="shared" si="455"/>
        <v>0</v>
      </c>
      <c r="R608">
        <f t="shared" si="456"/>
        <v>0</v>
      </c>
      <c r="S608">
        <f t="shared" si="457"/>
        <v>567.16999999999996</v>
      </c>
      <c r="T608">
        <f t="shared" si="458"/>
        <v>0</v>
      </c>
      <c r="U608">
        <f t="shared" si="459"/>
        <v>1.1816</v>
      </c>
      <c r="V608">
        <f t="shared" si="460"/>
        <v>0</v>
      </c>
      <c r="W608">
        <f t="shared" si="461"/>
        <v>0</v>
      </c>
      <c r="X608">
        <f t="shared" si="462"/>
        <v>397.02</v>
      </c>
      <c r="Y608">
        <f t="shared" si="463"/>
        <v>56.72</v>
      </c>
      <c r="AA608">
        <v>-1</v>
      </c>
      <c r="AB608">
        <f t="shared" si="464"/>
        <v>16907.419999999998</v>
      </c>
      <c r="AC608">
        <f>ROUND((ES608),6)</f>
        <v>2728.22</v>
      </c>
      <c r="AD608">
        <f>ROUND((((ET608)-(EU608))+AE608),6)</f>
        <v>0</v>
      </c>
      <c r="AE608">
        <f>ROUND((EU608),6)</f>
        <v>0</v>
      </c>
      <c r="AF608">
        <f>ROUND((EV608),6)</f>
        <v>14179.2</v>
      </c>
      <c r="AG608">
        <f t="shared" si="465"/>
        <v>0</v>
      </c>
      <c r="AH608">
        <f>(EW608)</f>
        <v>29.54</v>
      </c>
      <c r="AI608">
        <f>(EX608)</f>
        <v>0</v>
      </c>
      <c r="AJ608">
        <f t="shared" si="466"/>
        <v>0</v>
      </c>
      <c r="AK608">
        <v>16907.419999999998</v>
      </c>
      <c r="AL608">
        <v>2728.22</v>
      </c>
      <c r="AM608">
        <v>0</v>
      </c>
      <c r="AN608">
        <v>0</v>
      </c>
      <c r="AO608">
        <v>14179.2</v>
      </c>
      <c r="AP608">
        <v>0</v>
      </c>
      <c r="AQ608">
        <v>29.54</v>
      </c>
      <c r="AR608">
        <v>0</v>
      </c>
      <c r="AS608">
        <v>0</v>
      </c>
      <c r="AT608">
        <v>70</v>
      </c>
      <c r="AU608">
        <v>10</v>
      </c>
      <c r="AV608">
        <v>1</v>
      </c>
      <c r="AW608">
        <v>1</v>
      </c>
      <c r="AZ608">
        <v>1</v>
      </c>
      <c r="BA608">
        <v>1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61</v>
      </c>
      <c r="BM608">
        <v>0</v>
      </c>
      <c r="BN608">
        <v>0</v>
      </c>
      <c r="BO608" t="s">
        <v>3</v>
      </c>
      <c r="BP608">
        <v>0</v>
      </c>
      <c r="BQ608">
        <v>1</v>
      </c>
      <c r="BR608">
        <v>0</v>
      </c>
      <c r="BS608">
        <v>1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10</v>
      </c>
      <c r="CB608" t="s">
        <v>3</v>
      </c>
      <c r="CE608">
        <v>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467"/>
        <v>676.3</v>
      </c>
      <c r="CQ608">
        <f t="shared" si="468"/>
        <v>2728.22</v>
      </c>
      <c r="CR608">
        <f>((((ET608)*BB608-(EU608)*BS608)+AE608*BS608)*AV608)</f>
        <v>0</v>
      </c>
      <c r="CS608">
        <f t="shared" si="469"/>
        <v>0</v>
      </c>
      <c r="CT608">
        <f t="shared" si="470"/>
        <v>14179.2</v>
      </c>
      <c r="CU608">
        <f t="shared" si="471"/>
        <v>0</v>
      </c>
      <c r="CV608">
        <f t="shared" si="472"/>
        <v>29.54</v>
      </c>
      <c r="CW608">
        <f t="shared" si="473"/>
        <v>0</v>
      </c>
      <c r="CX608">
        <f t="shared" si="474"/>
        <v>0</v>
      </c>
      <c r="CY608">
        <f t="shared" si="475"/>
        <v>397.01899999999995</v>
      </c>
      <c r="CZ608">
        <f t="shared" si="476"/>
        <v>56.716999999999999</v>
      </c>
      <c r="DC608" t="s">
        <v>3</v>
      </c>
      <c r="DD608" t="s">
        <v>3</v>
      </c>
      <c r="DE608" t="s">
        <v>3</v>
      </c>
      <c r="DF608" t="s">
        <v>3</v>
      </c>
      <c r="DG608" t="s">
        <v>3</v>
      </c>
      <c r="DH608" t="s">
        <v>3</v>
      </c>
      <c r="DI608" t="s">
        <v>3</v>
      </c>
      <c r="DJ608" t="s">
        <v>3</v>
      </c>
      <c r="DK608" t="s">
        <v>3</v>
      </c>
      <c r="DL608" t="s">
        <v>3</v>
      </c>
      <c r="DM608" t="s">
        <v>3</v>
      </c>
      <c r="DN608">
        <v>0</v>
      </c>
      <c r="DO608">
        <v>0</v>
      </c>
      <c r="DP608">
        <v>1</v>
      </c>
      <c r="DQ608">
        <v>1</v>
      </c>
      <c r="DU608">
        <v>1003</v>
      </c>
      <c r="DV608" t="s">
        <v>60</v>
      </c>
      <c r="DW608" t="s">
        <v>60</v>
      </c>
      <c r="DX608">
        <v>100</v>
      </c>
      <c r="DZ608" t="s">
        <v>3</v>
      </c>
      <c r="EA608" t="s">
        <v>3</v>
      </c>
      <c r="EB608" t="s">
        <v>3</v>
      </c>
      <c r="EC608" t="s">
        <v>3</v>
      </c>
      <c r="EE608">
        <v>1441815344</v>
      </c>
      <c r="EF608">
        <v>1</v>
      </c>
      <c r="EG608" t="s">
        <v>21</v>
      </c>
      <c r="EH608">
        <v>0</v>
      </c>
      <c r="EI608" t="s">
        <v>3</v>
      </c>
      <c r="EJ608">
        <v>4</v>
      </c>
      <c r="EK608">
        <v>0</v>
      </c>
      <c r="EL608" t="s">
        <v>22</v>
      </c>
      <c r="EM608" t="s">
        <v>23</v>
      </c>
      <c r="EO608" t="s">
        <v>3</v>
      </c>
      <c r="EQ608">
        <v>1311744</v>
      </c>
      <c r="ER608">
        <v>16907.419999999998</v>
      </c>
      <c r="ES608">
        <v>2728.22</v>
      </c>
      <c r="ET608">
        <v>0</v>
      </c>
      <c r="EU608">
        <v>0</v>
      </c>
      <c r="EV608">
        <v>14179.2</v>
      </c>
      <c r="EW608">
        <v>29.54</v>
      </c>
      <c r="EX608">
        <v>0</v>
      </c>
      <c r="EY608">
        <v>0</v>
      </c>
      <c r="FQ608">
        <v>0</v>
      </c>
      <c r="FR608">
        <f t="shared" si="477"/>
        <v>0</v>
      </c>
      <c r="FS608">
        <v>0</v>
      </c>
      <c r="FX608">
        <v>70</v>
      </c>
      <c r="FY608">
        <v>10</v>
      </c>
      <c r="GA608" t="s">
        <v>3</v>
      </c>
      <c r="GD608">
        <v>0</v>
      </c>
      <c r="GF608">
        <v>-317825441</v>
      </c>
      <c r="GG608">
        <v>2</v>
      </c>
      <c r="GH608">
        <v>1</v>
      </c>
      <c r="GI608">
        <v>-2</v>
      </c>
      <c r="GJ608">
        <v>0</v>
      </c>
      <c r="GK608">
        <f>ROUND(R608*(R12)/100,2)</f>
        <v>0</v>
      </c>
      <c r="GL608">
        <f t="shared" si="478"/>
        <v>0</v>
      </c>
      <c r="GM608">
        <f t="shared" si="479"/>
        <v>1130.04</v>
      </c>
      <c r="GN608">
        <f t="shared" si="480"/>
        <v>0</v>
      </c>
      <c r="GO608">
        <f t="shared" si="481"/>
        <v>0</v>
      </c>
      <c r="GP608">
        <f t="shared" si="482"/>
        <v>1130.04</v>
      </c>
      <c r="GR608">
        <v>0</v>
      </c>
      <c r="GS608">
        <v>3</v>
      </c>
      <c r="GT608">
        <v>0</v>
      </c>
      <c r="GU608" t="s">
        <v>3</v>
      </c>
      <c r="GV608">
        <f t="shared" si="483"/>
        <v>0</v>
      </c>
      <c r="GW608">
        <v>1</v>
      </c>
      <c r="GX608">
        <f t="shared" si="484"/>
        <v>0</v>
      </c>
      <c r="HA608">
        <v>0</v>
      </c>
      <c r="HB608">
        <v>0</v>
      </c>
      <c r="HC608">
        <f t="shared" si="485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D609">
        <f>ROW(EtalonRes!A363)</f>
        <v>363</v>
      </c>
      <c r="E609" t="s">
        <v>308</v>
      </c>
      <c r="F609" t="s">
        <v>63</v>
      </c>
      <c r="G609" t="s">
        <v>64</v>
      </c>
      <c r="H609" t="s">
        <v>18</v>
      </c>
      <c r="I609">
        <f>ROUND(5/10,9)</f>
        <v>0.5</v>
      </c>
      <c r="J609">
        <v>0</v>
      </c>
      <c r="K609">
        <f>ROUND(5/10,9)</f>
        <v>0.5</v>
      </c>
      <c r="O609">
        <f t="shared" si="453"/>
        <v>1259.68</v>
      </c>
      <c r="P609">
        <f t="shared" si="454"/>
        <v>0</v>
      </c>
      <c r="Q609">
        <f t="shared" si="455"/>
        <v>0</v>
      </c>
      <c r="R609">
        <f t="shared" si="456"/>
        <v>0</v>
      </c>
      <c r="S609">
        <f t="shared" si="457"/>
        <v>1259.68</v>
      </c>
      <c r="T609">
        <f t="shared" si="458"/>
        <v>0</v>
      </c>
      <c r="U609">
        <f t="shared" si="459"/>
        <v>2.04</v>
      </c>
      <c r="V609">
        <f t="shared" si="460"/>
        <v>0</v>
      </c>
      <c r="W609">
        <f t="shared" si="461"/>
        <v>0</v>
      </c>
      <c r="X609">
        <f t="shared" si="462"/>
        <v>881.78</v>
      </c>
      <c r="Y609">
        <f t="shared" si="463"/>
        <v>125.97</v>
      </c>
      <c r="AA609">
        <v>1471531721</v>
      </c>
      <c r="AB609">
        <f t="shared" si="464"/>
        <v>2519.36</v>
      </c>
      <c r="AC609">
        <f>ROUND(((ES609*2)),6)</f>
        <v>0</v>
      </c>
      <c r="AD609">
        <f>ROUND(((((ET609*2))-((EU609*2)))+AE609),6)</f>
        <v>0</v>
      </c>
      <c r="AE609">
        <f>ROUND(((EU609*2)),6)</f>
        <v>0</v>
      </c>
      <c r="AF609">
        <f>ROUND(((EV609*2)),6)</f>
        <v>2519.36</v>
      </c>
      <c r="AG609">
        <f t="shared" si="465"/>
        <v>0</v>
      </c>
      <c r="AH609">
        <f>((EW609*2))</f>
        <v>4.08</v>
      </c>
      <c r="AI609">
        <f>((EX609*2))</f>
        <v>0</v>
      </c>
      <c r="AJ609">
        <f t="shared" si="466"/>
        <v>0</v>
      </c>
      <c r="AK609">
        <v>1259.68</v>
      </c>
      <c r="AL609">
        <v>0</v>
      </c>
      <c r="AM609">
        <v>0</v>
      </c>
      <c r="AN609">
        <v>0</v>
      </c>
      <c r="AO609">
        <v>1259.68</v>
      </c>
      <c r="AP609">
        <v>0</v>
      </c>
      <c r="AQ609">
        <v>2.04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65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467"/>
        <v>1259.68</v>
      </c>
      <c r="CQ609">
        <f t="shared" si="468"/>
        <v>0</v>
      </c>
      <c r="CR609">
        <f>(((((ET609*2))*BB609-((EU609*2))*BS609)+AE609*BS609)*AV609)</f>
        <v>0</v>
      </c>
      <c r="CS609">
        <f t="shared" si="469"/>
        <v>0</v>
      </c>
      <c r="CT609">
        <f t="shared" si="470"/>
        <v>2519.36</v>
      </c>
      <c r="CU609">
        <f t="shared" si="471"/>
        <v>0</v>
      </c>
      <c r="CV609">
        <f t="shared" si="472"/>
        <v>4.08</v>
      </c>
      <c r="CW609">
        <f t="shared" si="473"/>
        <v>0</v>
      </c>
      <c r="CX609">
        <f t="shared" si="474"/>
        <v>0</v>
      </c>
      <c r="CY609">
        <f t="shared" si="475"/>
        <v>881.77600000000007</v>
      </c>
      <c r="CZ609">
        <f t="shared" si="476"/>
        <v>125.96800000000002</v>
      </c>
      <c r="DC609" t="s">
        <v>3</v>
      </c>
      <c r="DD609" t="s">
        <v>253</v>
      </c>
      <c r="DE609" t="s">
        <v>253</v>
      </c>
      <c r="DF609" t="s">
        <v>253</v>
      </c>
      <c r="DG609" t="s">
        <v>253</v>
      </c>
      <c r="DH609" t="s">
        <v>3</v>
      </c>
      <c r="DI609" t="s">
        <v>253</v>
      </c>
      <c r="DJ609" t="s">
        <v>253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16987630</v>
      </c>
      <c r="DV609" t="s">
        <v>18</v>
      </c>
      <c r="DW609" t="s">
        <v>18</v>
      </c>
      <c r="DX609">
        <v>10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21</v>
      </c>
      <c r="EH609">
        <v>0</v>
      </c>
      <c r="EI609" t="s">
        <v>3</v>
      </c>
      <c r="EJ609">
        <v>4</v>
      </c>
      <c r="EK609">
        <v>0</v>
      </c>
      <c r="EL609" t="s">
        <v>22</v>
      </c>
      <c r="EM609" t="s">
        <v>23</v>
      </c>
      <c r="EO609" t="s">
        <v>3</v>
      </c>
      <c r="EQ609">
        <v>0</v>
      </c>
      <c r="ER609">
        <v>1259.68</v>
      </c>
      <c r="ES609">
        <v>0</v>
      </c>
      <c r="ET609">
        <v>0</v>
      </c>
      <c r="EU609">
        <v>0</v>
      </c>
      <c r="EV609">
        <v>1259.68</v>
      </c>
      <c r="EW609">
        <v>2.04</v>
      </c>
      <c r="EX609">
        <v>0</v>
      </c>
      <c r="EY609">
        <v>0</v>
      </c>
      <c r="FQ609">
        <v>0</v>
      </c>
      <c r="FR609">
        <f t="shared" si="477"/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-675599503</v>
      </c>
      <c r="GG609">
        <v>2</v>
      </c>
      <c r="GH609">
        <v>1</v>
      </c>
      <c r="GI609">
        <v>-2</v>
      </c>
      <c r="GJ609">
        <v>0</v>
      </c>
      <c r="GK609">
        <f>ROUND(R609*(R12)/100,2)</f>
        <v>0</v>
      </c>
      <c r="GL609">
        <f t="shared" si="478"/>
        <v>0</v>
      </c>
      <c r="GM609">
        <f t="shared" si="479"/>
        <v>2267.4299999999998</v>
      </c>
      <c r="GN609">
        <f t="shared" si="480"/>
        <v>0</v>
      </c>
      <c r="GO609">
        <f t="shared" si="481"/>
        <v>0</v>
      </c>
      <c r="GP609">
        <f t="shared" si="482"/>
        <v>2267.4299999999998</v>
      </c>
      <c r="GR609">
        <v>0</v>
      </c>
      <c r="GS609">
        <v>3</v>
      </c>
      <c r="GT609">
        <v>0</v>
      </c>
      <c r="GU609" t="s">
        <v>3</v>
      </c>
      <c r="GV609">
        <f t="shared" si="483"/>
        <v>0</v>
      </c>
      <c r="GW609">
        <v>1</v>
      </c>
      <c r="GX609">
        <f t="shared" si="484"/>
        <v>0</v>
      </c>
      <c r="HA609">
        <v>0</v>
      </c>
      <c r="HB609">
        <v>0</v>
      </c>
      <c r="HC609">
        <f t="shared" si="485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ROW(EtalonRes!A364)</f>
        <v>364</v>
      </c>
      <c r="E610" t="s">
        <v>3</v>
      </c>
      <c r="F610" t="s">
        <v>66</v>
      </c>
      <c r="G610" t="s">
        <v>67</v>
      </c>
      <c r="H610" t="s">
        <v>60</v>
      </c>
      <c r="I610">
        <f>ROUND(ROUND(((320+322+80+80)*0.25)*3/100,9),9)</f>
        <v>6.0149999999999997</v>
      </c>
      <c r="J610">
        <v>0</v>
      </c>
      <c r="K610">
        <f>ROUND(ROUND(((320+322+80+80)*0.25)*3/100,9),9)</f>
        <v>6.0149999999999997</v>
      </c>
      <c r="O610">
        <f t="shared" si="453"/>
        <v>24346.31</v>
      </c>
      <c r="P610">
        <f t="shared" si="454"/>
        <v>0</v>
      </c>
      <c r="Q610">
        <f t="shared" si="455"/>
        <v>0</v>
      </c>
      <c r="R610">
        <f t="shared" si="456"/>
        <v>0</v>
      </c>
      <c r="S610">
        <f t="shared" si="457"/>
        <v>24346.31</v>
      </c>
      <c r="T610">
        <f t="shared" si="458"/>
        <v>0</v>
      </c>
      <c r="U610">
        <f t="shared" si="459"/>
        <v>43.308</v>
      </c>
      <c r="V610">
        <f t="shared" si="460"/>
        <v>0</v>
      </c>
      <c r="W610">
        <f t="shared" si="461"/>
        <v>0</v>
      </c>
      <c r="X610">
        <f t="shared" si="462"/>
        <v>17042.419999999998</v>
      </c>
      <c r="Y610">
        <f t="shared" si="463"/>
        <v>2434.63</v>
      </c>
      <c r="AA610">
        <v>-1</v>
      </c>
      <c r="AB610">
        <f t="shared" si="464"/>
        <v>4047.6</v>
      </c>
      <c r="AC610">
        <f>ROUND(((ES610*8)),6)</f>
        <v>0</v>
      </c>
      <c r="AD610">
        <f>ROUND(((((ET610*8))-((EU610*8)))+AE610),6)</f>
        <v>0</v>
      </c>
      <c r="AE610">
        <f>ROUND(((EU610*8)),6)</f>
        <v>0</v>
      </c>
      <c r="AF610">
        <f>ROUND(((EV610*8)),6)</f>
        <v>4047.6</v>
      </c>
      <c r="AG610">
        <f t="shared" si="465"/>
        <v>0</v>
      </c>
      <c r="AH610">
        <f>((EW610*8))</f>
        <v>7.2</v>
      </c>
      <c r="AI610">
        <f>((EX610*8))</f>
        <v>0</v>
      </c>
      <c r="AJ610">
        <f t="shared" si="466"/>
        <v>0</v>
      </c>
      <c r="AK610">
        <v>505.95</v>
      </c>
      <c r="AL610">
        <v>0</v>
      </c>
      <c r="AM610">
        <v>0</v>
      </c>
      <c r="AN610">
        <v>0</v>
      </c>
      <c r="AO610">
        <v>505.95</v>
      </c>
      <c r="AP610">
        <v>0</v>
      </c>
      <c r="AQ610">
        <v>0.9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68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467"/>
        <v>24346.31</v>
      </c>
      <c r="CQ610">
        <f t="shared" si="468"/>
        <v>0</v>
      </c>
      <c r="CR610">
        <f>(((((ET610*8))*BB610-((EU610*8))*BS610)+AE610*BS610)*AV610)</f>
        <v>0</v>
      </c>
      <c r="CS610">
        <f t="shared" si="469"/>
        <v>0</v>
      </c>
      <c r="CT610">
        <f t="shared" si="470"/>
        <v>4047.6</v>
      </c>
      <c r="CU610">
        <f t="shared" si="471"/>
        <v>0</v>
      </c>
      <c r="CV610">
        <f t="shared" si="472"/>
        <v>7.2</v>
      </c>
      <c r="CW610">
        <f t="shared" si="473"/>
        <v>0</v>
      </c>
      <c r="CX610">
        <f t="shared" si="474"/>
        <v>0</v>
      </c>
      <c r="CY610">
        <f t="shared" si="475"/>
        <v>17042.417000000001</v>
      </c>
      <c r="CZ610">
        <f t="shared" si="476"/>
        <v>2434.6309999999999</v>
      </c>
      <c r="DC610" t="s">
        <v>3</v>
      </c>
      <c r="DD610" t="s">
        <v>69</v>
      </c>
      <c r="DE610" t="s">
        <v>69</v>
      </c>
      <c r="DF610" t="s">
        <v>69</v>
      </c>
      <c r="DG610" t="s">
        <v>69</v>
      </c>
      <c r="DH610" t="s">
        <v>3</v>
      </c>
      <c r="DI610" t="s">
        <v>69</v>
      </c>
      <c r="DJ610" t="s">
        <v>69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1003</v>
      </c>
      <c r="DV610" t="s">
        <v>60</v>
      </c>
      <c r="DW610" t="s">
        <v>60</v>
      </c>
      <c r="DX610">
        <v>100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21</v>
      </c>
      <c r="EH610">
        <v>0</v>
      </c>
      <c r="EI610" t="s">
        <v>3</v>
      </c>
      <c r="EJ610">
        <v>4</v>
      </c>
      <c r="EK610">
        <v>0</v>
      </c>
      <c r="EL610" t="s">
        <v>22</v>
      </c>
      <c r="EM610" t="s">
        <v>23</v>
      </c>
      <c r="EO610" t="s">
        <v>3</v>
      </c>
      <c r="EQ610">
        <v>1024</v>
      </c>
      <c r="ER610">
        <v>505.95</v>
      </c>
      <c r="ES610">
        <v>0</v>
      </c>
      <c r="ET610">
        <v>0</v>
      </c>
      <c r="EU610">
        <v>0</v>
      </c>
      <c r="EV610">
        <v>505.95</v>
      </c>
      <c r="EW610">
        <v>0.9</v>
      </c>
      <c r="EX610">
        <v>0</v>
      </c>
      <c r="EY610">
        <v>0</v>
      </c>
      <c r="FQ610">
        <v>0</v>
      </c>
      <c r="FR610">
        <f t="shared" si="477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-341239612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</v>
      </c>
      <c r="GL610">
        <f t="shared" si="478"/>
        <v>0</v>
      </c>
      <c r="GM610">
        <f t="shared" si="479"/>
        <v>43823.360000000001</v>
      </c>
      <c r="GN610">
        <f t="shared" si="480"/>
        <v>0</v>
      </c>
      <c r="GO610">
        <f t="shared" si="481"/>
        <v>0</v>
      </c>
      <c r="GP610">
        <f t="shared" si="482"/>
        <v>43823.360000000001</v>
      </c>
      <c r="GR610">
        <v>0</v>
      </c>
      <c r="GS610">
        <v>3</v>
      </c>
      <c r="GT610">
        <v>0</v>
      </c>
      <c r="GU610" t="s">
        <v>3</v>
      </c>
      <c r="GV610">
        <f t="shared" si="483"/>
        <v>0</v>
      </c>
      <c r="GW610">
        <v>1</v>
      </c>
      <c r="GX610">
        <f t="shared" si="484"/>
        <v>0</v>
      </c>
      <c r="HA610">
        <v>0</v>
      </c>
      <c r="HB610">
        <v>0</v>
      </c>
      <c r="HC610">
        <f t="shared" si="485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ROW(EtalonRes!A365)</f>
        <v>365</v>
      </c>
      <c r="E611" t="s">
        <v>3</v>
      </c>
      <c r="F611" t="s">
        <v>70</v>
      </c>
      <c r="G611" t="s">
        <v>71</v>
      </c>
      <c r="H611" t="s">
        <v>60</v>
      </c>
      <c r="I611">
        <f>ROUND(ROUND(((320+322+80+80)*0.75)*3/100,9),9)</f>
        <v>18.045000000000002</v>
      </c>
      <c r="J611">
        <v>0</v>
      </c>
      <c r="K611">
        <f>ROUND(ROUND(((320+322+80+80)*0.75)*3/100,9),9)</f>
        <v>18.045000000000002</v>
      </c>
      <c r="O611">
        <f t="shared" si="453"/>
        <v>392790.57</v>
      </c>
      <c r="P611">
        <f t="shared" si="454"/>
        <v>0</v>
      </c>
      <c r="Q611">
        <f t="shared" si="455"/>
        <v>0</v>
      </c>
      <c r="R611">
        <f t="shared" si="456"/>
        <v>0</v>
      </c>
      <c r="S611">
        <f t="shared" si="457"/>
        <v>392790.57</v>
      </c>
      <c r="T611">
        <f t="shared" si="458"/>
        <v>0</v>
      </c>
      <c r="U611">
        <f t="shared" si="459"/>
        <v>698.70240000000001</v>
      </c>
      <c r="V611">
        <f t="shared" si="460"/>
        <v>0</v>
      </c>
      <c r="W611">
        <f t="shared" si="461"/>
        <v>0</v>
      </c>
      <c r="X611">
        <f t="shared" si="462"/>
        <v>274953.40000000002</v>
      </c>
      <c r="Y611">
        <f t="shared" si="463"/>
        <v>39279.06</v>
      </c>
      <c r="AA611">
        <v>-1</v>
      </c>
      <c r="AB611">
        <f t="shared" si="464"/>
        <v>21767.279999999999</v>
      </c>
      <c r="AC611">
        <f>ROUND(((ES611*8)),6)</f>
        <v>0</v>
      </c>
      <c r="AD611">
        <f>ROUND(((((ET611*8))-((EU611*8)))+AE611),6)</f>
        <v>0</v>
      </c>
      <c r="AE611">
        <f>ROUND(((EU611*8)),6)</f>
        <v>0</v>
      </c>
      <c r="AF611">
        <f>ROUND(((EV611*8)),6)</f>
        <v>21767.279999999999</v>
      </c>
      <c r="AG611">
        <f t="shared" si="465"/>
        <v>0</v>
      </c>
      <c r="AH611">
        <f>((EW611*8))</f>
        <v>38.72</v>
      </c>
      <c r="AI611">
        <f>((EX611*8))</f>
        <v>0</v>
      </c>
      <c r="AJ611">
        <f t="shared" si="466"/>
        <v>0</v>
      </c>
      <c r="AK611">
        <v>2720.91</v>
      </c>
      <c r="AL611">
        <v>0</v>
      </c>
      <c r="AM611">
        <v>0</v>
      </c>
      <c r="AN611">
        <v>0</v>
      </c>
      <c r="AO611">
        <v>2720.91</v>
      </c>
      <c r="AP611">
        <v>0</v>
      </c>
      <c r="AQ611">
        <v>4.84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72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467"/>
        <v>392790.57</v>
      </c>
      <c r="CQ611">
        <f t="shared" si="468"/>
        <v>0</v>
      </c>
      <c r="CR611">
        <f>(((((ET611*8))*BB611-((EU611*8))*BS611)+AE611*BS611)*AV611)</f>
        <v>0</v>
      </c>
      <c r="CS611">
        <f t="shared" si="469"/>
        <v>0</v>
      </c>
      <c r="CT611">
        <f t="shared" si="470"/>
        <v>21767.279999999999</v>
      </c>
      <c r="CU611">
        <f t="shared" si="471"/>
        <v>0</v>
      </c>
      <c r="CV611">
        <f t="shared" si="472"/>
        <v>38.72</v>
      </c>
      <c r="CW611">
        <f t="shared" si="473"/>
        <v>0</v>
      </c>
      <c r="CX611">
        <f t="shared" si="474"/>
        <v>0</v>
      </c>
      <c r="CY611">
        <f t="shared" si="475"/>
        <v>274953.39900000003</v>
      </c>
      <c r="CZ611">
        <f t="shared" si="476"/>
        <v>39279.057000000001</v>
      </c>
      <c r="DC611" t="s">
        <v>3</v>
      </c>
      <c r="DD611" t="s">
        <v>69</v>
      </c>
      <c r="DE611" t="s">
        <v>69</v>
      </c>
      <c r="DF611" t="s">
        <v>69</v>
      </c>
      <c r="DG611" t="s">
        <v>69</v>
      </c>
      <c r="DH611" t="s">
        <v>3</v>
      </c>
      <c r="DI611" t="s">
        <v>69</v>
      </c>
      <c r="DJ611" t="s">
        <v>69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1003</v>
      </c>
      <c r="DV611" t="s">
        <v>60</v>
      </c>
      <c r="DW611" t="s">
        <v>60</v>
      </c>
      <c r="DX611">
        <v>100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21</v>
      </c>
      <c r="EH611">
        <v>0</v>
      </c>
      <c r="EI611" t="s">
        <v>3</v>
      </c>
      <c r="EJ611">
        <v>4</v>
      </c>
      <c r="EK611">
        <v>0</v>
      </c>
      <c r="EL611" t="s">
        <v>22</v>
      </c>
      <c r="EM611" t="s">
        <v>23</v>
      </c>
      <c r="EO611" t="s">
        <v>3</v>
      </c>
      <c r="EQ611">
        <v>1024</v>
      </c>
      <c r="ER611">
        <v>2720.91</v>
      </c>
      <c r="ES611">
        <v>0</v>
      </c>
      <c r="ET611">
        <v>0</v>
      </c>
      <c r="EU611">
        <v>0</v>
      </c>
      <c r="EV611">
        <v>2720.91</v>
      </c>
      <c r="EW611">
        <v>4.84</v>
      </c>
      <c r="EX611">
        <v>0</v>
      </c>
      <c r="EY611">
        <v>0</v>
      </c>
      <c r="FQ611">
        <v>0</v>
      </c>
      <c r="FR611">
        <f t="shared" si="477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-1706933960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</v>
      </c>
      <c r="GL611">
        <f t="shared" si="478"/>
        <v>0</v>
      </c>
      <c r="GM611">
        <f t="shared" si="479"/>
        <v>707023.03</v>
      </c>
      <c r="GN611">
        <f t="shared" si="480"/>
        <v>0</v>
      </c>
      <c r="GO611">
        <f t="shared" si="481"/>
        <v>0</v>
      </c>
      <c r="GP611">
        <f t="shared" si="482"/>
        <v>707023.03</v>
      </c>
      <c r="GR611">
        <v>0</v>
      </c>
      <c r="GS611">
        <v>3</v>
      </c>
      <c r="GT611">
        <v>0</v>
      </c>
      <c r="GU611" t="s">
        <v>3</v>
      </c>
      <c r="GV611">
        <f t="shared" si="483"/>
        <v>0</v>
      </c>
      <c r="GW611">
        <v>1</v>
      </c>
      <c r="GX611">
        <f t="shared" si="484"/>
        <v>0</v>
      </c>
      <c r="HA611">
        <v>0</v>
      </c>
      <c r="HB611">
        <v>0</v>
      </c>
      <c r="HC611">
        <f t="shared" si="485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ROW(EtalonRes!A367)</f>
        <v>367</v>
      </c>
      <c r="E612" t="s">
        <v>309</v>
      </c>
      <c r="F612" t="s">
        <v>42</v>
      </c>
      <c r="G612" t="s">
        <v>74</v>
      </c>
      <c r="H612" t="s">
        <v>39</v>
      </c>
      <c r="I612">
        <v>5</v>
      </c>
      <c r="J612">
        <v>0</v>
      </c>
      <c r="K612">
        <v>5</v>
      </c>
      <c r="O612">
        <f t="shared" si="453"/>
        <v>1430.9</v>
      </c>
      <c r="P612">
        <f t="shared" si="454"/>
        <v>0</v>
      </c>
      <c r="Q612">
        <f t="shared" si="455"/>
        <v>390.9</v>
      </c>
      <c r="R612">
        <f t="shared" si="456"/>
        <v>247.85</v>
      </c>
      <c r="S612">
        <f t="shared" si="457"/>
        <v>1040</v>
      </c>
      <c r="T612">
        <f t="shared" si="458"/>
        <v>0</v>
      </c>
      <c r="U612">
        <f t="shared" si="459"/>
        <v>1.85</v>
      </c>
      <c r="V612">
        <f t="shared" si="460"/>
        <v>0</v>
      </c>
      <c r="W612">
        <f t="shared" si="461"/>
        <v>0</v>
      </c>
      <c r="X612">
        <f t="shared" si="462"/>
        <v>728</v>
      </c>
      <c r="Y612">
        <f t="shared" si="463"/>
        <v>104</v>
      </c>
      <c r="AA612">
        <v>1471531721</v>
      </c>
      <c r="AB612">
        <f t="shared" si="464"/>
        <v>286.18</v>
      </c>
      <c r="AC612">
        <f>ROUND((ES612),6)</f>
        <v>0</v>
      </c>
      <c r="AD612">
        <f>ROUND((((ET612)-(EU612))+AE612),6)</f>
        <v>78.180000000000007</v>
      </c>
      <c r="AE612">
        <f>ROUND((EU612),6)</f>
        <v>49.57</v>
      </c>
      <c r="AF612">
        <f>ROUND((EV612),6)</f>
        <v>208</v>
      </c>
      <c r="AG612">
        <f t="shared" si="465"/>
        <v>0</v>
      </c>
      <c r="AH612">
        <f>(EW612)</f>
        <v>0.37</v>
      </c>
      <c r="AI612">
        <f>(EX612)</f>
        <v>0</v>
      </c>
      <c r="AJ612">
        <f t="shared" si="466"/>
        <v>0</v>
      </c>
      <c r="AK612">
        <v>286.18</v>
      </c>
      <c r="AL612">
        <v>0</v>
      </c>
      <c r="AM612">
        <v>78.180000000000007</v>
      </c>
      <c r="AN612">
        <v>49.57</v>
      </c>
      <c r="AO612">
        <v>208</v>
      </c>
      <c r="AP612">
        <v>0</v>
      </c>
      <c r="AQ612">
        <v>0.37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44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467"/>
        <v>1430.9</v>
      </c>
      <c r="CQ612">
        <f t="shared" si="468"/>
        <v>0</v>
      </c>
      <c r="CR612">
        <f>((((ET612)*BB612-(EU612)*BS612)+AE612*BS612)*AV612)</f>
        <v>78.180000000000007</v>
      </c>
      <c r="CS612">
        <f t="shared" si="469"/>
        <v>49.57</v>
      </c>
      <c r="CT612">
        <f t="shared" si="470"/>
        <v>208</v>
      </c>
      <c r="CU612">
        <f t="shared" si="471"/>
        <v>0</v>
      </c>
      <c r="CV612">
        <f t="shared" si="472"/>
        <v>0.37</v>
      </c>
      <c r="CW612">
        <f t="shared" si="473"/>
        <v>0</v>
      </c>
      <c r="CX612">
        <f t="shared" si="474"/>
        <v>0</v>
      </c>
      <c r="CY612">
        <f t="shared" si="475"/>
        <v>728</v>
      </c>
      <c r="CZ612">
        <f t="shared" si="476"/>
        <v>104</v>
      </c>
      <c r="DC612" t="s">
        <v>3</v>
      </c>
      <c r="DD612" t="s">
        <v>3</v>
      </c>
      <c r="DE612" t="s">
        <v>3</v>
      </c>
      <c r="DF612" t="s">
        <v>3</v>
      </c>
      <c r="DG612" t="s">
        <v>3</v>
      </c>
      <c r="DH612" t="s">
        <v>3</v>
      </c>
      <c r="DI612" t="s">
        <v>3</v>
      </c>
      <c r="DJ612" t="s">
        <v>3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16987630</v>
      </c>
      <c r="DV612" t="s">
        <v>39</v>
      </c>
      <c r="DW612" t="s">
        <v>39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21</v>
      </c>
      <c r="EH612">
        <v>0</v>
      </c>
      <c r="EI612" t="s">
        <v>3</v>
      </c>
      <c r="EJ612">
        <v>4</v>
      </c>
      <c r="EK612">
        <v>0</v>
      </c>
      <c r="EL612" t="s">
        <v>22</v>
      </c>
      <c r="EM612" t="s">
        <v>23</v>
      </c>
      <c r="EO612" t="s">
        <v>3</v>
      </c>
      <c r="EQ612">
        <v>0</v>
      </c>
      <c r="ER612">
        <v>286.18</v>
      </c>
      <c r="ES612">
        <v>0</v>
      </c>
      <c r="ET612">
        <v>78.180000000000007</v>
      </c>
      <c r="EU612">
        <v>49.57</v>
      </c>
      <c r="EV612">
        <v>208</v>
      </c>
      <c r="EW612">
        <v>0.37</v>
      </c>
      <c r="EX612">
        <v>0</v>
      </c>
      <c r="EY612">
        <v>0</v>
      </c>
      <c r="FQ612">
        <v>0</v>
      </c>
      <c r="FR612">
        <f t="shared" si="477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139218651</v>
      </c>
      <c r="GG612">
        <v>2</v>
      </c>
      <c r="GH612">
        <v>1</v>
      </c>
      <c r="GI612">
        <v>-2</v>
      </c>
      <c r="GJ612">
        <v>0</v>
      </c>
      <c r="GK612">
        <f>ROUND(R612*(R12)/100,2)</f>
        <v>267.68</v>
      </c>
      <c r="GL612">
        <f t="shared" si="478"/>
        <v>0</v>
      </c>
      <c r="GM612">
        <f t="shared" si="479"/>
        <v>2530.58</v>
      </c>
      <c r="GN612">
        <f t="shared" si="480"/>
        <v>0</v>
      </c>
      <c r="GO612">
        <f t="shared" si="481"/>
        <v>0</v>
      </c>
      <c r="GP612">
        <f t="shared" si="482"/>
        <v>2530.58</v>
      </c>
      <c r="GR612">
        <v>0</v>
      </c>
      <c r="GS612">
        <v>3</v>
      </c>
      <c r="GT612">
        <v>0</v>
      </c>
      <c r="GU612" t="s">
        <v>3</v>
      </c>
      <c r="GV612">
        <f t="shared" si="483"/>
        <v>0</v>
      </c>
      <c r="GW612">
        <v>1</v>
      </c>
      <c r="GX612">
        <f t="shared" si="484"/>
        <v>0</v>
      </c>
      <c r="HA612">
        <v>0</v>
      </c>
      <c r="HB612">
        <v>0</v>
      </c>
      <c r="HC612">
        <f t="shared" si="485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D613">
        <f>ROW(EtalonRes!A368)</f>
        <v>368</v>
      </c>
      <c r="E613" t="s">
        <v>3</v>
      </c>
      <c r="F613" t="s">
        <v>76</v>
      </c>
      <c r="G613" t="s">
        <v>77</v>
      </c>
      <c r="H613" t="s">
        <v>18</v>
      </c>
      <c r="I613">
        <f>ROUND(13/10,9)</f>
        <v>1.3</v>
      </c>
      <c r="J613">
        <v>0</v>
      </c>
      <c r="K613">
        <f>ROUND(13/10,9)</f>
        <v>1.3</v>
      </c>
      <c r="O613">
        <f t="shared" si="453"/>
        <v>979.34</v>
      </c>
      <c r="P613">
        <f t="shared" si="454"/>
        <v>0</v>
      </c>
      <c r="Q613">
        <f t="shared" si="455"/>
        <v>0</v>
      </c>
      <c r="R613">
        <f t="shared" si="456"/>
        <v>0</v>
      </c>
      <c r="S613">
        <f t="shared" si="457"/>
        <v>979.34</v>
      </c>
      <c r="T613">
        <f t="shared" si="458"/>
        <v>0</v>
      </c>
      <c r="U613">
        <f t="shared" si="459"/>
        <v>1.5860000000000001</v>
      </c>
      <c r="V613">
        <f t="shared" si="460"/>
        <v>0</v>
      </c>
      <c r="W613">
        <f t="shared" si="461"/>
        <v>0</v>
      </c>
      <c r="X613">
        <f t="shared" si="462"/>
        <v>685.54</v>
      </c>
      <c r="Y613">
        <f t="shared" si="463"/>
        <v>97.93</v>
      </c>
      <c r="AA613">
        <v>-1</v>
      </c>
      <c r="AB613">
        <f t="shared" si="464"/>
        <v>753.34</v>
      </c>
      <c r="AC613">
        <f>ROUND((ES613),6)</f>
        <v>0</v>
      </c>
      <c r="AD613">
        <f>ROUND((((ET613)-(EU613))+AE613),6)</f>
        <v>0</v>
      </c>
      <c r="AE613">
        <f>ROUND((EU613),6)</f>
        <v>0</v>
      </c>
      <c r="AF613">
        <f>ROUND(((EV613*2)),6)</f>
        <v>753.34</v>
      </c>
      <c r="AG613">
        <f t="shared" si="465"/>
        <v>0</v>
      </c>
      <c r="AH613">
        <f>((EW613*2))</f>
        <v>1.22</v>
      </c>
      <c r="AI613">
        <f>(EX613)</f>
        <v>0</v>
      </c>
      <c r="AJ613">
        <f t="shared" si="466"/>
        <v>0</v>
      </c>
      <c r="AK613">
        <v>376.67</v>
      </c>
      <c r="AL613">
        <v>0</v>
      </c>
      <c r="AM613">
        <v>0</v>
      </c>
      <c r="AN613">
        <v>0</v>
      </c>
      <c r="AO613">
        <v>376.67</v>
      </c>
      <c r="AP613">
        <v>0</v>
      </c>
      <c r="AQ613">
        <v>0.61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78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467"/>
        <v>979.34</v>
      </c>
      <c r="CQ613">
        <f t="shared" si="468"/>
        <v>0</v>
      </c>
      <c r="CR613">
        <f>((((ET613)*BB613-(EU613)*BS613)+AE613*BS613)*AV613)</f>
        <v>0</v>
      </c>
      <c r="CS613">
        <f t="shared" si="469"/>
        <v>0</v>
      </c>
      <c r="CT613">
        <f t="shared" si="470"/>
        <v>753.34</v>
      </c>
      <c r="CU613">
        <f t="shared" si="471"/>
        <v>0</v>
      </c>
      <c r="CV613">
        <f t="shared" si="472"/>
        <v>1.22</v>
      </c>
      <c r="CW613">
        <f t="shared" si="473"/>
        <v>0</v>
      </c>
      <c r="CX613">
        <f t="shared" si="474"/>
        <v>0</v>
      </c>
      <c r="CY613">
        <f t="shared" si="475"/>
        <v>685.53800000000001</v>
      </c>
      <c r="CZ613">
        <f t="shared" si="476"/>
        <v>97.933999999999997</v>
      </c>
      <c r="DC613" t="s">
        <v>3</v>
      </c>
      <c r="DD613" t="s">
        <v>3</v>
      </c>
      <c r="DE613" t="s">
        <v>3</v>
      </c>
      <c r="DF613" t="s">
        <v>3</v>
      </c>
      <c r="DG613" t="s">
        <v>253</v>
      </c>
      <c r="DH613" t="s">
        <v>3</v>
      </c>
      <c r="DI613" t="s">
        <v>253</v>
      </c>
      <c r="DJ613" t="s">
        <v>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16987630</v>
      </c>
      <c r="DV613" t="s">
        <v>18</v>
      </c>
      <c r="DW613" t="s">
        <v>18</v>
      </c>
      <c r="DX613">
        <v>10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21</v>
      </c>
      <c r="EH613">
        <v>0</v>
      </c>
      <c r="EI613" t="s">
        <v>3</v>
      </c>
      <c r="EJ613">
        <v>4</v>
      </c>
      <c r="EK613">
        <v>0</v>
      </c>
      <c r="EL613" t="s">
        <v>22</v>
      </c>
      <c r="EM613" t="s">
        <v>23</v>
      </c>
      <c r="EO613" t="s">
        <v>3</v>
      </c>
      <c r="EQ613">
        <v>1024</v>
      </c>
      <c r="ER613">
        <v>376.67</v>
      </c>
      <c r="ES613">
        <v>0</v>
      </c>
      <c r="ET613">
        <v>0</v>
      </c>
      <c r="EU613">
        <v>0</v>
      </c>
      <c r="EV613">
        <v>376.67</v>
      </c>
      <c r="EW613">
        <v>0.61</v>
      </c>
      <c r="EX613">
        <v>0</v>
      </c>
      <c r="EY613">
        <v>0</v>
      </c>
      <c r="FQ613">
        <v>0</v>
      </c>
      <c r="FR613">
        <f t="shared" si="477"/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357408898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</v>
      </c>
      <c r="GL613">
        <f t="shared" si="478"/>
        <v>0</v>
      </c>
      <c r="GM613">
        <f t="shared" si="479"/>
        <v>1762.81</v>
      </c>
      <c r="GN613">
        <f t="shared" si="480"/>
        <v>0</v>
      </c>
      <c r="GO613">
        <f t="shared" si="481"/>
        <v>0</v>
      </c>
      <c r="GP613">
        <f t="shared" si="482"/>
        <v>1762.81</v>
      </c>
      <c r="GR613">
        <v>0</v>
      </c>
      <c r="GS613">
        <v>3</v>
      </c>
      <c r="GT613">
        <v>0</v>
      </c>
      <c r="GU613" t="s">
        <v>3</v>
      </c>
      <c r="GV613">
        <f t="shared" si="483"/>
        <v>0</v>
      </c>
      <c r="GW613">
        <v>1</v>
      </c>
      <c r="GX613">
        <f t="shared" si="484"/>
        <v>0</v>
      </c>
      <c r="HA613">
        <v>0</v>
      </c>
      <c r="HB613">
        <v>0</v>
      </c>
      <c r="HC613">
        <f t="shared" si="485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D614">
        <f>ROW(EtalonRes!A371)</f>
        <v>371</v>
      </c>
      <c r="E614" t="s">
        <v>3</v>
      </c>
      <c r="F614" t="s">
        <v>79</v>
      </c>
      <c r="G614" t="s">
        <v>80</v>
      </c>
      <c r="H614" t="s">
        <v>31</v>
      </c>
      <c r="I614">
        <f>ROUND(8/100,9)</f>
        <v>0.08</v>
      </c>
      <c r="J614">
        <v>0</v>
      </c>
      <c r="K614">
        <f>ROUND(8/100,9)</f>
        <v>0.08</v>
      </c>
      <c r="O614">
        <f t="shared" si="453"/>
        <v>89833.66</v>
      </c>
      <c r="P614">
        <f t="shared" si="454"/>
        <v>1102.7</v>
      </c>
      <c r="Q614">
        <f t="shared" si="455"/>
        <v>0</v>
      </c>
      <c r="R614">
        <f t="shared" si="456"/>
        <v>0</v>
      </c>
      <c r="S614">
        <f t="shared" si="457"/>
        <v>88730.96</v>
      </c>
      <c r="T614">
        <f t="shared" si="458"/>
        <v>0</v>
      </c>
      <c r="U614">
        <f t="shared" si="459"/>
        <v>272.44</v>
      </c>
      <c r="V614">
        <f t="shared" si="460"/>
        <v>0</v>
      </c>
      <c r="W614">
        <f t="shared" si="461"/>
        <v>0</v>
      </c>
      <c r="X614">
        <f t="shared" si="462"/>
        <v>62111.67</v>
      </c>
      <c r="Y614">
        <f t="shared" si="463"/>
        <v>8873.1</v>
      </c>
      <c r="AA614">
        <v>-1</v>
      </c>
      <c r="AB614">
        <f t="shared" si="464"/>
        <v>1122920.75</v>
      </c>
      <c r="AC614">
        <f>ROUND(((ES614*245)),6)</f>
        <v>13783.7</v>
      </c>
      <c r="AD614">
        <f>ROUND((((ET614)-(EU614))+AE614),6)</f>
        <v>0</v>
      </c>
      <c r="AE614">
        <f>ROUND((EU614),6)</f>
        <v>0</v>
      </c>
      <c r="AF614">
        <f>ROUND(((EV614*245)),6)</f>
        <v>1109137.05</v>
      </c>
      <c r="AG614">
        <f t="shared" si="465"/>
        <v>0</v>
      </c>
      <c r="AH614">
        <f>((EW614*245))</f>
        <v>3405.5</v>
      </c>
      <c r="AI614">
        <f>(EX614)</f>
        <v>0</v>
      </c>
      <c r="AJ614">
        <f t="shared" si="466"/>
        <v>0</v>
      </c>
      <c r="AK614">
        <v>4583.3500000000004</v>
      </c>
      <c r="AL614">
        <v>56.26</v>
      </c>
      <c r="AM614">
        <v>0</v>
      </c>
      <c r="AN614">
        <v>0</v>
      </c>
      <c r="AO614">
        <v>4527.09</v>
      </c>
      <c r="AP614">
        <v>0</v>
      </c>
      <c r="AQ614">
        <v>13.9</v>
      </c>
      <c r="AR614">
        <v>0</v>
      </c>
      <c r="AS614">
        <v>0</v>
      </c>
      <c r="AT614">
        <v>70</v>
      </c>
      <c r="AU614">
        <v>10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81</v>
      </c>
      <c r="BM614">
        <v>0</v>
      </c>
      <c r="BN614">
        <v>0</v>
      </c>
      <c r="BO614" t="s">
        <v>3</v>
      </c>
      <c r="BP614">
        <v>0</v>
      </c>
      <c r="BQ614">
        <v>1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10</v>
      </c>
      <c r="CB614" t="s">
        <v>3</v>
      </c>
      <c r="CE614">
        <v>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467"/>
        <v>89833.66</v>
      </c>
      <c r="CQ614">
        <f t="shared" si="468"/>
        <v>13783.7</v>
      </c>
      <c r="CR614">
        <f>((((ET614)*BB614-(EU614)*BS614)+AE614*BS614)*AV614)</f>
        <v>0</v>
      </c>
      <c r="CS614">
        <f t="shared" si="469"/>
        <v>0</v>
      </c>
      <c r="CT614">
        <f t="shared" si="470"/>
        <v>1109137.05</v>
      </c>
      <c r="CU614">
        <f t="shared" si="471"/>
        <v>0</v>
      </c>
      <c r="CV614">
        <f t="shared" si="472"/>
        <v>3405.5</v>
      </c>
      <c r="CW614">
        <f t="shared" si="473"/>
        <v>0</v>
      </c>
      <c r="CX614">
        <f t="shared" si="474"/>
        <v>0</v>
      </c>
      <c r="CY614">
        <f t="shared" si="475"/>
        <v>62111.671999999999</v>
      </c>
      <c r="CZ614">
        <f t="shared" si="476"/>
        <v>8873.0960000000014</v>
      </c>
      <c r="DC614" t="s">
        <v>3</v>
      </c>
      <c r="DD614" t="s">
        <v>82</v>
      </c>
      <c r="DE614" t="s">
        <v>3</v>
      </c>
      <c r="DF614" t="s">
        <v>3</v>
      </c>
      <c r="DG614" t="s">
        <v>82</v>
      </c>
      <c r="DH614" t="s">
        <v>3</v>
      </c>
      <c r="DI614" t="s">
        <v>82</v>
      </c>
      <c r="DJ614" t="s">
        <v>3</v>
      </c>
      <c r="DK614" t="s">
        <v>3</v>
      </c>
      <c r="DL614" t="s">
        <v>3</v>
      </c>
      <c r="DM614" t="s">
        <v>3</v>
      </c>
      <c r="DN614">
        <v>0</v>
      </c>
      <c r="DO614">
        <v>0</v>
      </c>
      <c r="DP614">
        <v>1</v>
      </c>
      <c r="DQ614">
        <v>1</v>
      </c>
      <c r="DU614">
        <v>16987630</v>
      </c>
      <c r="DV614" t="s">
        <v>31</v>
      </c>
      <c r="DW614" t="s">
        <v>31</v>
      </c>
      <c r="DX614">
        <v>100</v>
      </c>
      <c r="DZ614" t="s">
        <v>3</v>
      </c>
      <c r="EA614" t="s">
        <v>3</v>
      </c>
      <c r="EB614" t="s">
        <v>3</v>
      </c>
      <c r="EC614" t="s">
        <v>3</v>
      </c>
      <c r="EE614">
        <v>1441815344</v>
      </c>
      <c r="EF614">
        <v>1</v>
      </c>
      <c r="EG614" t="s">
        <v>21</v>
      </c>
      <c r="EH614">
        <v>0</v>
      </c>
      <c r="EI614" t="s">
        <v>3</v>
      </c>
      <c r="EJ614">
        <v>4</v>
      </c>
      <c r="EK614">
        <v>0</v>
      </c>
      <c r="EL614" t="s">
        <v>22</v>
      </c>
      <c r="EM614" t="s">
        <v>23</v>
      </c>
      <c r="EO614" t="s">
        <v>3</v>
      </c>
      <c r="EQ614">
        <v>1024</v>
      </c>
      <c r="ER614">
        <v>4583.3500000000004</v>
      </c>
      <c r="ES614">
        <v>56.26</v>
      </c>
      <c r="ET614">
        <v>0</v>
      </c>
      <c r="EU614">
        <v>0</v>
      </c>
      <c r="EV614">
        <v>4527.09</v>
      </c>
      <c r="EW614">
        <v>13.9</v>
      </c>
      <c r="EX614">
        <v>0</v>
      </c>
      <c r="EY614">
        <v>0</v>
      </c>
      <c r="FQ614">
        <v>0</v>
      </c>
      <c r="FR614">
        <f t="shared" si="477"/>
        <v>0</v>
      </c>
      <c r="FS614">
        <v>0</v>
      </c>
      <c r="FX614">
        <v>70</v>
      </c>
      <c r="FY614">
        <v>10</v>
      </c>
      <c r="GA614" t="s">
        <v>3</v>
      </c>
      <c r="GD614">
        <v>0</v>
      </c>
      <c r="GF614">
        <v>-414143233</v>
      </c>
      <c r="GG614">
        <v>2</v>
      </c>
      <c r="GH614">
        <v>1</v>
      </c>
      <c r="GI614">
        <v>-2</v>
      </c>
      <c r="GJ614">
        <v>0</v>
      </c>
      <c r="GK614">
        <f>ROUND(R614*(R12)/100,2)</f>
        <v>0</v>
      </c>
      <c r="GL614">
        <f t="shared" si="478"/>
        <v>0</v>
      </c>
      <c r="GM614">
        <f t="shared" si="479"/>
        <v>160818.43</v>
      </c>
      <c r="GN614">
        <f t="shared" si="480"/>
        <v>0</v>
      </c>
      <c r="GO614">
        <f t="shared" si="481"/>
        <v>0</v>
      </c>
      <c r="GP614">
        <f t="shared" si="482"/>
        <v>160818.43</v>
      </c>
      <c r="GR614">
        <v>0</v>
      </c>
      <c r="GS614">
        <v>3</v>
      </c>
      <c r="GT614">
        <v>0</v>
      </c>
      <c r="GU614" t="s">
        <v>3</v>
      </c>
      <c r="GV614">
        <f t="shared" si="483"/>
        <v>0</v>
      </c>
      <c r="GW614">
        <v>1</v>
      </c>
      <c r="GX614">
        <f t="shared" si="484"/>
        <v>0</v>
      </c>
      <c r="HA614">
        <v>0</v>
      </c>
      <c r="HB614">
        <v>0</v>
      </c>
      <c r="HC614">
        <f t="shared" si="485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5" spans="1:245" x14ac:dyDescent="0.2">
      <c r="A615">
        <v>17</v>
      </c>
      <c r="B615">
        <v>1</v>
      </c>
      <c r="D615">
        <f>ROW(EtalonRes!A374)</f>
        <v>374</v>
      </c>
      <c r="E615" t="s">
        <v>3</v>
      </c>
      <c r="F615" t="s">
        <v>83</v>
      </c>
      <c r="G615" t="s">
        <v>84</v>
      </c>
      <c r="H615" t="s">
        <v>31</v>
      </c>
      <c r="I615">
        <f>ROUND(8/100,9)</f>
        <v>0.08</v>
      </c>
      <c r="J615">
        <v>0</v>
      </c>
      <c r="K615">
        <f>ROUND(8/100,9)</f>
        <v>0.08</v>
      </c>
      <c r="O615">
        <f t="shared" si="453"/>
        <v>53128.35</v>
      </c>
      <c r="P615">
        <f t="shared" si="454"/>
        <v>1102.7</v>
      </c>
      <c r="Q615">
        <f t="shared" si="455"/>
        <v>0</v>
      </c>
      <c r="R615">
        <f t="shared" si="456"/>
        <v>0</v>
      </c>
      <c r="S615">
        <f t="shared" si="457"/>
        <v>52025.65</v>
      </c>
      <c r="T615">
        <f t="shared" si="458"/>
        <v>0</v>
      </c>
      <c r="U615">
        <f t="shared" si="459"/>
        <v>159.74</v>
      </c>
      <c r="V615">
        <f t="shared" si="460"/>
        <v>0</v>
      </c>
      <c r="W615">
        <f t="shared" si="461"/>
        <v>0</v>
      </c>
      <c r="X615">
        <f t="shared" si="462"/>
        <v>36417.96</v>
      </c>
      <c r="Y615">
        <f t="shared" si="463"/>
        <v>5202.57</v>
      </c>
      <c r="AA615">
        <v>-1</v>
      </c>
      <c r="AB615">
        <f t="shared" si="464"/>
        <v>664104.35</v>
      </c>
      <c r="AC615">
        <f>ROUND(((ES615*245)),6)</f>
        <v>13783.7</v>
      </c>
      <c r="AD615">
        <f>ROUND((((ET615)-(EU615))+AE615),6)</f>
        <v>0</v>
      </c>
      <c r="AE615">
        <f>ROUND((EU615),6)</f>
        <v>0</v>
      </c>
      <c r="AF615">
        <f>ROUND(((EV615*245)),6)</f>
        <v>650320.65</v>
      </c>
      <c r="AG615">
        <f t="shared" si="465"/>
        <v>0</v>
      </c>
      <c r="AH615">
        <f>((EW615*245))</f>
        <v>1996.75</v>
      </c>
      <c r="AI615">
        <f>(EX615)</f>
        <v>0</v>
      </c>
      <c r="AJ615">
        <f t="shared" si="466"/>
        <v>0</v>
      </c>
      <c r="AK615">
        <v>2710.63</v>
      </c>
      <c r="AL615">
        <v>56.26</v>
      </c>
      <c r="AM615">
        <v>0</v>
      </c>
      <c r="AN615">
        <v>0</v>
      </c>
      <c r="AO615">
        <v>2654.37</v>
      </c>
      <c r="AP615">
        <v>0</v>
      </c>
      <c r="AQ615">
        <v>8.15</v>
      </c>
      <c r="AR615">
        <v>0</v>
      </c>
      <c r="AS615">
        <v>0</v>
      </c>
      <c r="AT615">
        <v>70</v>
      </c>
      <c r="AU615">
        <v>10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85</v>
      </c>
      <c r="BM615">
        <v>0</v>
      </c>
      <c r="BN615">
        <v>0</v>
      </c>
      <c r="BO615" t="s">
        <v>3</v>
      </c>
      <c r="BP615">
        <v>0</v>
      </c>
      <c r="BQ615">
        <v>1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10</v>
      </c>
      <c r="CB615" t="s">
        <v>3</v>
      </c>
      <c r="CE615">
        <v>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si="467"/>
        <v>53128.35</v>
      </c>
      <c r="CQ615">
        <f t="shared" si="468"/>
        <v>13783.7</v>
      </c>
      <c r="CR615">
        <f>((((ET615)*BB615-(EU615)*BS615)+AE615*BS615)*AV615)</f>
        <v>0</v>
      </c>
      <c r="CS615">
        <f t="shared" si="469"/>
        <v>0</v>
      </c>
      <c r="CT615">
        <f t="shared" si="470"/>
        <v>650320.65</v>
      </c>
      <c r="CU615">
        <f t="shared" si="471"/>
        <v>0</v>
      </c>
      <c r="CV615">
        <f t="shared" si="472"/>
        <v>1996.75</v>
      </c>
      <c r="CW615">
        <f t="shared" si="473"/>
        <v>0</v>
      </c>
      <c r="CX615">
        <f t="shared" si="474"/>
        <v>0</v>
      </c>
      <c r="CY615">
        <f t="shared" si="475"/>
        <v>36417.955000000002</v>
      </c>
      <c r="CZ615">
        <f t="shared" si="476"/>
        <v>5202.5649999999996</v>
      </c>
      <c r="DC615" t="s">
        <v>3</v>
      </c>
      <c r="DD615" t="s">
        <v>82</v>
      </c>
      <c r="DE615" t="s">
        <v>3</v>
      </c>
      <c r="DF615" t="s">
        <v>3</v>
      </c>
      <c r="DG615" t="s">
        <v>82</v>
      </c>
      <c r="DH615" t="s">
        <v>3</v>
      </c>
      <c r="DI615" t="s">
        <v>82</v>
      </c>
      <c r="DJ615" t="s">
        <v>3</v>
      </c>
      <c r="DK615" t="s">
        <v>3</v>
      </c>
      <c r="DL615" t="s">
        <v>3</v>
      </c>
      <c r="DM615" t="s">
        <v>3</v>
      </c>
      <c r="DN615">
        <v>0</v>
      </c>
      <c r="DO615">
        <v>0</v>
      </c>
      <c r="DP615">
        <v>1</v>
      </c>
      <c r="DQ615">
        <v>1</v>
      </c>
      <c r="DU615">
        <v>16987630</v>
      </c>
      <c r="DV615" t="s">
        <v>31</v>
      </c>
      <c r="DW615" t="s">
        <v>31</v>
      </c>
      <c r="DX615">
        <v>100</v>
      </c>
      <c r="DZ615" t="s">
        <v>3</v>
      </c>
      <c r="EA615" t="s">
        <v>3</v>
      </c>
      <c r="EB615" t="s">
        <v>3</v>
      </c>
      <c r="EC615" t="s">
        <v>3</v>
      </c>
      <c r="EE615">
        <v>1441815344</v>
      </c>
      <c r="EF615">
        <v>1</v>
      </c>
      <c r="EG615" t="s">
        <v>21</v>
      </c>
      <c r="EH615">
        <v>0</v>
      </c>
      <c r="EI615" t="s">
        <v>3</v>
      </c>
      <c r="EJ615">
        <v>4</v>
      </c>
      <c r="EK615">
        <v>0</v>
      </c>
      <c r="EL615" t="s">
        <v>22</v>
      </c>
      <c r="EM615" t="s">
        <v>23</v>
      </c>
      <c r="EO615" t="s">
        <v>3</v>
      </c>
      <c r="EQ615">
        <v>1024</v>
      </c>
      <c r="ER615">
        <v>2710.63</v>
      </c>
      <c r="ES615">
        <v>56.26</v>
      </c>
      <c r="ET615">
        <v>0</v>
      </c>
      <c r="EU615">
        <v>0</v>
      </c>
      <c r="EV615">
        <v>2654.37</v>
      </c>
      <c r="EW615">
        <v>8.15</v>
      </c>
      <c r="EX615">
        <v>0</v>
      </c>
      <c r="EY615">
        <v>0</v>
      </c>
      <c r="FQ615">
        <v>0</v>
      </c>
      <c r="FR615">
        <f t="shared" si="477"/>
        <v>0</v>
      </c>
      <c r="FS615">
        <v>0</v>
      </c>
      <c r="FX615">
        <v>70</v>
      </c>
      <c r="FY615">
        <v>10</v>
      </c>
      <c r="GA615" t="s">
        <v>3</v>
      </c>
      <c r="GD615">
        <v>0</v>
      </c>
      <c r="GF615">
        <v>-729031507</v>
      </c>
      <c r="GG615">
        <v>2</v>
      </c>
      <c r="GH615">
        <v>1</v>
      </c>
      <c r="GI615">
        <v>-2</v>
      </c>
      <c r="GJ615">
        <v>0</v>
      </c>
      <c r="GK615">
        <f>ROUND(R615*(R12)/100,2)</f>
        <v>0</v>
      </c>
      <c r="GL615">
        <f t="shared" si="478"/>
        <v>0</v>
      </c>
      <c r="GM615">
        <f t="shared" si="479"/>
        <v>94748.88</v>
      </c>
      <c r="GN615">
        <f t="shared" si="480"/>
        <v>0</v>
      </c>
      <c r="GO615">
        <f t="shared" si="481"/>
        <v>0</v>
      </c>
      <c r="GP615">
        <f t="shared" si="482"/>
        <v>94748.88</v>
      </c>
      <c r="GR615">
        <v>0</v>
      </c>
      <c r="GS615">
        <v>3</v>
      </c>
      <c r="GT615">
        <v>0</v>
      </c>
      <c r="GU615" t="s">
        <v>3</v>
      </c>
      <c r="GV615">
        <f t="shared" si="483"/>
        <v>0</v>
      </c>
      <c r="GW615">
        <v>1</v>
      </c>
      <c r="GX615">
        <f t="shared" si="484"/>
        <v>0</v>
      </c>
      <c r="HA615">
        <v>0</v>
      </c>
      <c r="HB615">
        <v>0</v>
      </c>
      <c r="HC615">
        <f t="shared" si="485"/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6" spans="1:245" x14ac:dyDescent="0.2">
      <c r="A616">
        <v>17</v>
      </c>
      <c r="B616">
        <v>1</v>
      </c>
      <c r="D616">
        <f>ROW(EtalonRes!A377)</f>
        <v>377</v>
      </c>
      <c r="E616" t="s">
        <v>3</v>
      </c>
      <c r="F616" t="s">
        <v>83</v>
      </c>
      <c r="G616" t="s">
        <v>254</v>
      </c>
      <c r="H616" t="s">
        <v>31</v>
      </c>
      <c r="I616">
        <f>ROUND(8/100,9)</f>
        <v>0.08</v>
      </c>
      <c r="J616">
        <v>0</v>
      </c>
      <c r="K616">
        <f>ROUND(8/100,9)</f>
        <v>0.08</v>
      </c>
      <c r="O616">
        <f t="shared" si="453"/>
        <v>53128.35</v>
      </c>
      <c r="P616">
        <f t="shared" si="454"/>
        <v>1102.7</v>
      </c>
      <c r="Q616">
        <f t="shared" si="455"/>
        <v>0</v>
      </c>
      <c r="R616">
        <f t="shared" si="456"/>
        <v>0</v>
      </c>
      <c r="S616">
        <f t="shared" si="457"/>
        <v>52025.65</v>
      </c>
      <c r="T616">
        <f t="shared" si="458"/>
        <v>0</v>
      </c>
      <c r="U616">
        <f t="shared" si="459"/>
        <v>159.74</v>
      </c>
      <c r="V616">
        <f t="shared" si="460"/>
        <v>0</v>
      </c>
      <c r="W616">
        <f t="shared" si="461"/>
        <v>0</v>
      </c>
      <c r="X616">
        <f t="shared" si="462"/>
        <v>36417.96</v>
      </c>
      <c r="Y616">
        <f t="shared" si="463"/>
        <v>5202.57</v>
      </c>
      <c r="AA616">
        <v>-1</v>
      </c>
      <c r="AB616">
        <f t="shared" si="464"/>
        <v>664104.35</v>
      </c>
      <c r="AC616">
        <f>ROUND(((ES616*245)),6)</f>
        <v>13783.7</v>
      </c>
      <c r="AD616">
        <f>ROUND((((ET616)-(EU616))+AE616),6)</f>
        <v>0</v>
      </c>
      <c r="AE616">
        <f>ROUND((EU616),6)</f>
        <v>0</v>
      </c>
      <c r="AF616">
        <f>ROUND(((EV616*245)),6)</f>
        <v>650320.65</v>
      </c>
      <c r="AG616">
        <f t="shared" si="465"/>
        <v>0</v>
      </c>
      <c r="AH616">
        <f>((EW616*245))</f>
        <v>1996.75</v>
      </c>
      <c r="AI616">
        <f>(EX616)</f>
        <v>0</v>
      </c>
      <c r="AJ616">
        <f t="shared" si="466"/>
        <v>0</v>
      </c>
      <c r="AK616">
        <v>2710.63</v>
      </c>
      <c r="AL616">
        <v>56.26</v>
      </c>
      <c r="AM616">
        <v>0</v>
      </c>
      <c r="AN616">
        <v>0</v>
      </c>
      <c r="AO616">
        <v>2654.37</v>
      </c>
      <c r="AP616">
        <v>0</v>
      </c>
      <c r="AQ616">
        <v>8.15</v>
      </c>
      <c r="AR616">
        <v>0</v>
      </c>
      <c r="AS616">
        <v>0</v>
      </c>
      <c r="AT616">
        <v>70</v>
      </c>
      <c r="AU616">
        <v>10</v>
      </c>
      <c r="AV616">
        <v>1</v>
      </c>
      <c r="AW616">
        <v>1</v>
      </c>
      <c r="AZ616">
        <v>1</v>
      </c>
      <c r="BA616">
        <v>1</v>
      </c>
      <c r="BB616">
        <v>1</v>
      </c>
      <c r="BC616">
        <v>1</v>
      </c>
      <c r="BD616" t="s">
        <v>3</v>
      </c>
      <c r="BE616" t="s">
        <v>3</v>
      </c>
      <c r="BF616" t="s">
        <v>3</v>
      </c>
      <c r="BG616" t="s">
        <v>3</v>
      </c>
      <c r="BH616">
        <v>0</v>
      </c>
      <c r="BI616">
        <v>4</v>
      </c>
      <c r="BJ616" t="s">
        <v>85</v>
      </c>
      <c r="BM616">
        <v>0</v>
      </c>
      <c r="BN616">
        <v>0</v>
      </c>
      <c r="BO616" t="s">
        <v>3</v>
      </c>
      <c r="BP616">
        <v>0</v>
      </c>
      <c r="BQ616">
        <v>1</v>
      </c>
      <c r="BR616">
        <v>0</v>
      </c>
      <c r="BS616">
        <v>1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3</v>
      </c>
      <c r="BZ616">
        <v>70</v>
      </c>
      <c r="CA616">
        <v>10</v>
      </c>
      <c r="CB616" t="s">
        <v>3</v>
      </c>
      <c r="CE616">
        <v>0</v>
      </c>
      <c r="CF616">
        <v>0</v>
      </c>
      <c r="CG616">
        <v>0</v>
      </c>
      <c r="CM616">
        <v>0</v>
      </c>
      <c r="CN616" t="s">
        <v>3</v>
      </c>
      <c r="CO616">
        <v>0</v>
      </c>
      <c r="CP616">
        <f t="shared" si="467"/>
        <v>53128.35</v>
      </c>
      <c r="CQ616">
        <f t="shared" si="468"/>
        <v>13783.7</v>
      </c>
      <c r="CR616">
        <f>((((ET616)*BB616-(EU616)*BS616)+AE616*BS616)*AV616)</f>
        <v>0</v>
      </c>
      <c r="CS616">
        <f t="shared" si="469"/>
        <v>0</v>
      </c>
      <c r="CT616">
        <f t="shared" si="470"/>
        <v>650320.65</v>
      </c>
      <c r="CU616">
        <f t="shared" si="471"/>
        <v>0</v>
      </c>
      <c r="CV616">
        <f t="shared" si="472"/>
        <v>1996.75</v>
      </c>
      <c r="CW616">
        <f t="shared" si="473"/>
        <v>0</v>
      </c>
      <c r="CX616">
        <f t="shared" si="474"/>
        <v>0</v>
      </c>
      <c r="CY616">
        <f t="shared" si="475"/>
        <v>36417.955000000002</v>
      </c>
      <c r="CZ616">
        <f t="shared" si="476"/>
        <v>5202.5649999999996</v>
      </c>
      <c r="DC616" t="s">
        <v>3</v>
      </c>
      <c r="DD616" t="s">
        <v>82</v>
      </c>
      <c r="DE616" t="s">
        <v>3</v>
      </c>
      <c r="DF616" t="s">
        <v>3</v>
      </c>
      <c r="DG616" t="s">
        <v>82</v>
      </c>
      <c r="DH616" t="s">
        <v>3</v>
      </c>
      <c r="DI616" t="s">
        <v>82</v>
      </c>
      <c r="DJ616" t="s">
        <v>3</v>
      </c>
      <c r="DK616" t="s">
        <v>3</v>
      </c>
      <c r="DL616" t="s">
        <v>3</v>
      </c>
      <c r="DM616" t="s">
        <v>3</v>
      </c>
      <c r="DN616">
        <v>0</v>
      </c>
      <c r="DO616">
        <v>0</v>
      </c>
      <c r="DP616">
        <v>1</v>
      </c>
      <c r="DQ616">
        <v>1</v>
      </c>
      <c r="DU616">
        <v>16987630</v>
      </c>
      <c r="DV616" t="s">
        <v>31</v>
      </c>
      <c r="DW616" t="s">
        <v>31</v>
      </c>
      <c r="DX616">
        <v>100</v>
      </c>
      <c r="DZ616" t="s">
        <v>3</v>
      </c>
      <c r="EA616" t="s">
        <v>3</v>
      </c>
      <c r="EB616" t="s">
        <v>3</v>
      </c>
      <c r="EC616" t="s">
        <v>3</v>
      </c>
      <c r="EE616">
        <v>1441815344</v>
      </c>
      <c r="EF616">
        <v>1</v>
      </c>
      <c r="EG616" t="s">
        <v>21</v>
      </c>
      <c r="EH616">
        <v>0</v>
      </c>
      <c r="EI616" t="s">
        <v>3</v>
      </c>
      <c r="EJ616">
        <v>4</v>
      </c>
      <c r="EK616">
        <v>0</v>
      </c>
      <c r="EL616" t="s">
        <v>22</v>
      </c>
      <c r="EM616" t="s">
        <v>23</v>
      </c>
      <c r="EO616" t="s">
        <v>3</v>
      </c>
      <c r="EQ616">
        <v>1024</v>
      </c>
      <c r="ER616">
        <v>2710.63</v>
      </c>
      <c r="ES616">
        <v>56.26</v>
      </c>
      <c r="ET616">
        <v>0</v>
      </c>
      <c r="EU616">
        <v>0</v>
      </c>
      <c r="EV616">
        <v>2654.37</v>
      </c>
      <c r="EW616">
        <v>8.15</v>
      </c>
      <c r="EX616">
        <v>0</v>
      </c>
      <c r="EY616">
        <v>0</v>
      </c>
      <c r="FQ616">
        <v>0</v>
      </c>
      <c r="FR616">
        <f t="shared" si="477"/>
        <v>0</v>
      </c>
      <c r="FS616">
        <v>0</v>
      </c>
      <c r="FX616">
        <v>70</v>
      </c>
      <c r="FY616">
        <v>10</v>
      </c>
      <c r="GA616" t="s">
        <v>3</v>
      </c>
      <c r="GD616">
        <v>0</v>
      </c>
      <c r="GF616">
        <v>-86013364</v>
      </c>
      <c r="GG616">
        <v>2</v>
      </c>
      <c r="GH616">
        <v>1</v>
      </c>
      <c r="GI616">
        <v>-2</v>
      </c>
      <c r="GJ616">
        <v>0</v>
      </c>
      <c r="GK616">
        <f>ROUND(R616*(R12)/100,2)</f>
        <v>0</v>
      </c>
      <c r="GL616">
        <f t="shared" si="478"/>
        <v>0</v>
      </c>
      <c r="GM616">
        <f t="shared" si="479"/>
        <v>94748.88</v>
      </c>
      <c r="GN616">
        <f t="shared" si="480"/>
        <v>0</v>
      </c>
      <c r="GO616">
        <f t="shared" si="481"/>
        <v>0</v>
      </c>
      <c r="GP616">
        <f t="shared" si="482"/>
        <v>94748.88</v>
      </c>
      <c r="GR616">
        <v>0</v>
      </c>
      <c r="GS616">
        <v>3</v>
      </c>
      <c r="GT616">
        <v>0</v>
      </c>
      <c r="GU616" t="s">
        <v>3</v>
      </c>
      <c r="GV616">
        <f t="shared" si="483"/>
        <v>0</v>
      </c>
      <c r="GW616">
        <v>1</v>
      </c>
      <c r="GX616">
        <f t="shared" si="484"/>
        <v>0</v>
      </c>
      <c r="HA616">
        <v>0</v>
      </c>
      <c r="HB616">
        <v>0</v>
      </c>
      <c r="HC616">
        <f t="shared" si="485"/>
        <v>0</v>
      </c>
      <c r="HE616" t="s">
        <v>3</v>
      </c>
      <c r="HF616" t="s">
        <v>3</v>
      </c>
      <c r="HM616" t="s">
        <v>3</v>
      </c>
      <c r="HN616" t="s">
        <v>3</v>
      </c>
      <c r="HO616" t="s">
        <v>3</v>
      </c>
      <c r="HP616" t="s">
        <v>3</v>
      </c>
      <c r="HQ616" t="s">
        <v>3</v>
      </c>
      <c r="IK616">
        <v>0</v>
      </c>
    </row>
    <row r="618" spans="1:245" x14ac:dyDescent="0.2">
      <c r="A618" s="2">
        <v>51</v>
      </c>
      <c r="B618" s="2">
        <f>B593</f>
        <v>1</v>
      </c>
      <c r="C618" s="2">
        <f>A593</f>
        <v>5</v>
      </c>
      <c r="D618" s="2">
        <f>ROW(A593)</f>
        <v>593</v>
      </c>
      <c r="E618" s="2"/>
      <c r="F618" s="2" t="str">
        <f>IF(F593&lt;&gt;"",F593,"")</f>
        <v>Новый подраздел</v>
      </c>
      <c r="G618" s="2" t="str">
        <f>IF(G593&lt;&gt;"",G593,"")</f>
        <v>Оборудование водоснабжения и водоотведения</v>
      </c>
      <c r="H618" s="2">
        <v>0</v>
      </c>
      <c r="I618" s="2"/>
      <c r="J618" s="2"/>
      <c r="K618" s="2"/>
      <c r="L618" s="2"/>
      <c r="M618" s="2"/>
      <c r="N618" s="2"/>
      <c r="O618" s="2">
        <f t="shared" ref="O618:T618" si="488">ROUND(AB618,2)</f>
        <v>74111.070000000007</v>
      </c>
      <c r="P618" s="2">
        <f t="shared" si="488"/>
        <v>29499.69</v>
      </c>
      <c r="Q618" s="2">
        <f t="shared" si="488"/>
        <v>7976.43</v>
      </c>
      <c r="R618" s="2">
        <f t="shared" si="488"/>
        <v>4975.28</v>
      </c>
      <c r="S618" s="2">
        <f t="shared" si="488"/>
        <v>36634.949999999997</v>
      </c>
      <c r="T618" s="2">
        <f t="shared" si="488"/>
        <v>0</v>
      </c>
      <c r="U618" s="2">
        <f>AH618</f>
        <v>58.544500000000006</v>
      </c>
      <c r="V618" s="2">
        <f>AI618</f>
        <v>0</v>
      </c>
      <c r="W618" s="2">
        <f>ROUND(AJ618,2)</f>
        <v>0</v>
      </c>
      <c r="X618" s="2">
        <f>ROUND(AK618,2)</f>
        <v>25644.48</v>
      </c>
      <c r="Y618" s="2">
        <f>ROUND(AL618,2)</f>
        <v>3663.51</v>
      </c>
      <c r="Z618" s="2"/>
      <c r="AA618" s="2"/>
      <c r="AB618" s="2">
        <f>ROUND(SUMIF(AA597:AA616,"=1471531721",O597:O616),2)</f>
        <v>74111.070000000007</v>
      </c>
      <c r="AC618" s="2">
        <f>ROUND(SUMIF(AA597:AA616,"=1471531721",P597:P616),2)</f>
        <v>29499.69</v>
      </c>
      <c r="AD618" s="2">
        <f>ROUND(SUMIF(AA597:AA616,"=1471531721",Q597:Q616),2)</f>
        <v>7976.43</v>
      </c>
      <c r="AE618" s="2">
        <f>ROUND(SUMIF(AA597:AA616,"=1471531721",R597:R616),2)</f>
        <v>4975.28</v>
      </c>
      <c r="AF618" s="2">
        <f>ROUND(SUMIF(AA597:AA616,"=1471531721",S597:S616),2)</f>
        <v>36634.949999999997</v>
      </c>
      <c r="AG618" s="2">
        <f>ROUND(SUMIF(AA597:AA616,"=1471531721",T597:T616),2)</f>
        <v>0</v>
      </c>
      <c r="AH618" s="2">
        <f>SUMIF(AA597:AA616,"=1471531721",U597:U616)</f>
        <v>58.544500000000006</v>
      </c>
      <c r="AI618" s="2">
        <f>SUMIF(AA597:AA616,"=1471531721",V597:V616)</f>
        <v>0</v>
      </c>
      <c r="AJ618" s="2">
        <f>ROUND(SUMIF(AA597:AA616,"=1471531721",W597:W616),2)</f>
        <v>0</v>
      </c>
      <c r="AK618" s="2">
        <f>ROUND(SUMIF(AA597:AA616,"=1471531721",X597:X616),2)</f>
        <v>25644.48</v>
      </c>
      <c r="AL618" s="2">
        <f>ROUND(SUMIF(AA597:AA616,"=1471531721",Y597:Y616),2)</f>
        <v>3663.51</v>
      </c>
      <c r="AM618" s="2"/>
      <c r="AN618" s="2"/>
      <c r="AO618" s="2">
        <f t="shared" ref="AO618:BD618" si="489">ROUND(BX618,2)</f>
        <v>0</v>
      </c>
      <c r="AP618" s="2">
        <f t="shared" si="489"/>
        <v>0</v>
      </c>
      <c r="AQ618" s="2">
        <f t="shared" si="489"/>
        <v>0</v>
      </c>
      <c r="AR618" s="2">
        <f t="shared" si="489"/>
        <v>108792.36</v>
      </c>
      <c r="AS618" s="2">
        <f t="shared" si="489"/>
        <v>0</v>
      </c>
      <c r="AT618" s="2">
        <f t="shared" si="489"/>
        <v>0</v>
      </c>
      <c r="AU618" s="2">
        <f t="shared" si="489"/>
        <v>108792.36</v>
      </c>
      <c r="AV618" s="2">
        <f t="shared" si="489"/>
        <v>29499.69</v>
      </c>
      <c r="AW618" s="2">
        <f t="shared" si="489"/>
        <v>29499.69</v>
      </c>
      <c r="AX618" s="2">
        <f t="shared" si="489"/>
        <v>0</v>
      </c>
      <c r="AY618" s="2">
        <f t="shared" si="489"/>
        <v>29499.69</v>
      </c>
      <c r="AZ618" s="2">
        <f t="shared" si="489"/>
        <v>0</v>
      </c>
      <c r="BA618" s="2">
        <f t="shared" si="489"/>
        <v>0</v>
      </c>
      <c r="BB618" s="2">
        <f t="shared" si="489"/>
        <v>0</v>
      </c>
      <c r="BC618" s="2">
        <f t="shared" si="489"/>
        <v>0</v>
      </c>
      <c r="BD618" s="2">
        <f t="shared" si="489"/>
        <v>0</v>
      </c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>
        <f>ROUND(SUMIF(AA597:AA616,"=1471531721",FQ597:FQ616),2)</f>
        <v>0</v>
      </c>
      <c r="BY618" s="2">
        <f>ROUND(SUMIF(AA597:AA616,"=1471531721",FR597:FR616),2)</f>
        <v>0</v>
      </c>
      <c r="BZ618" s="2">
        <f>ROUND(SUMIF(AA597:AA616,"=1471531721",GL597:GL616),2)</f>
        <v>0</v>
      </c>
      <c r="CA618" s="2">
        <f>ROUND(SUMIF(AA597:AA616,"=1471531721",GM597:GM616),2)</f>
        <v>108792.36</v>
      </c>
      <c r="CB618" s="2">
        <f>ROUND(SUMIF(AA597:AA616,"=1471531721",GN597:GN616),2)</f>
        <v>0</v>
      </c>
      <c r="CC618" s="2">
        <f>ROUND(SUMIF(AA597:AA616,"=1471531721",GO597:GO616),2)</f>
        <v>0</v>
      </c>
      <c r="CD618" s="2">
        <f>ROUND(SUMIF(AA597:AA616,"=1471531721",GP597:GP616),2)</f>
        <v>108792.36</v>
      </c>
      <c r="CE618" s="2">
        <f>AC618-BX618</f>
        <v>29499.69</v>
      </c>
      <c r="CF618" s="2">
        <f>AC618-BY618</f>
        <v>29499.69</v>
      </c>
      <c r="CG618" s="2">
        <f>BX618-BZ618</f>
        <v>0</v>
      </c>
      <c r="CH618" s="2">
        <f>AC618-BX618-BY618+BZ618</f>
        <v>29499.69</v>
      </c>
      <c r="CI618" s="2">
        <f>BY618-BZ618</f>
        <v>0</v>
      </c>
      <c r="CJ618" s="2">
        <f>ROUND(SUMIF(AA597:AA616,"=1471531721",GX597:GX616),2)</f>
        <v>0</v>
      </c>
      <c r="CK618" s="2">
        <f>ROUND(SUMIF(AA597:AA616,"=1471531721",GY597:GY616),2)</f>
        <v>0</v>
      </c>
      <c r="CL618" s="2">
        <f>ROUND(SUMIF(AA597:AA616,"=1471531721",GZ597:GZ616),2)</f>
        <v>0</v>
      </c>
      <c r="CM618" s="2">
        <f>ROUND(SUMIF(AA597:AA616,"=1471531721",HD597:HD616),2)</f>
        <v>0</v>
      </c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3"/>
      <c r="DH618" s="3"/>
      <c r="DI618" s="3"/>
      <c r="DJ618" s="3"/>
      <c r="DK618" s="3"/>
      <c r="DL618" s="3"/>
      <c r="DM618" s="3"/>
      <c r="DN618" s="3"/>
      <c r="DO618" s="3"/>
      <c r="DP618" s="3"/>
      <c r="DQ618" s="3"/>
      <c r="DR618" s="3"/>
      <c r="DS618" s="3"/>
      <c r="DT618" s="3"/>
      <c r="DU618" s="3"/>
      <c r="DV618" s="3"/>
      <c r="DW618" s="3"/>
      <c r="DX618" s="3"/>
      <c r="DY618" s="3"/>
      <c r="DZ618" s="3"/>
      <c r="EA618" s="3"/>
      <c r="EB618" s="3"/>
      <c r="EC618" s="3"/>
      <c r="ED618" s="3"/>
      <c r="EE618" s="3"/>
      <c r="EF618" s="3"/>
      <c r="EG618" s="3"/>
      <c r="EH618" s="3"/>
      <c r="EI618" s="3"/>
      <c r="EJ618" s="3"/>
      <c r="EK618" s="3"/>
      <c r="EL618" s="3"/>
      <c r="EM618" s="3"/>
      <c r="EN618" s="3"/>
      <c r="EO618" s="3"/>
      <c r="EP618" s="3"/>
      <c r="EQ618" s="3"/>
      <c r="ER618" s="3"/>
      <c r="ES618" s="3"/>
      <c r="ET618" s="3"/>
      <c r="EU618" s="3"/>
      <c r="EV618" s="3"/>
      <c r="EW618" s="3"/>
      <c r="EX618" s="3"/>
      <c r="EY618" s="3"/>
      <c r="EZ618" s="3"/>
      <c r="FA618" s="3"/>
      <c r="FB618" s="3"/>
      <c r="FC618" s="3"/>
      <c r="FD618" s="3"/>
      <c r="FE618" s="3"/>
      <c r="FF618" s="3"/>
      <c r="FG618" s="3"/>
      <c r="FH618" s="3"/>
      <c r="FI618" s="3"/>
      <c r="FJ618" s="3"/>
      <c r="FK618" s="3"/>
      <c r="FL618" s="3"/>
      <c r="FM618" s="3"/>
      <c r="FN618" s="3"/>
      <c r="FO618" s="3"/>
      <c r="FP618" s="3"/>
      <c r="FQ618" s="3"/>
      <c r="FR618" s="3"/>
      <c r="FS618" s="3"/>
      <c r="FT618" s="3"/>
      <c r="FU618" s="3"/>
      <c r="FV618" s="3"/>
      <c r="FW618" s="3"/>
      <c r="FX618" s="3"/>
      <c r="FY618" s="3"/>
      <c r="FZ618" s="3"/>
      <c r="GA618" s="3"/>
      <c r="GB618" s="3"/>
      <c r="GC618" s="3"/>
      <c r="GD618" s="3"/>
      <c r="GE618" s="3"/>
      <c r="GF618" s="3"/>
      <c r="GG618" s="3"/>
      <c r="GH618" s="3"/>
      <c r="GI618" s="3"/>
      <c r="GJ618" s="3"/>
      <c r="GK618" s="3"/>
      <c r="GL618" s="3"/>
      <c r="GM618" s="3"/>
      <c r="GN618" s="3"/>
      <c r="GO618" s="3"/>
      <c r="GP618" s="3"/>
      <c r="GQ618" s="3"/>
      <c r="GR618" s="3"/>
      <c r="GS618" s="3"/>
      <c r="GT618" s="3"/>
      <c r="GU618" s="3"/>
      <c r="GV618" s="3"/>
      <c r="GW618" s="3"/>
      <c r="GX618" s="3">
        <v>0</v>
      </c>
    </row>
    <row r="620" spans="1:245" x14ac:dyDescent="0.2">
      <c r="A620" s="4">
        <v>50</v>
      </c>
      <c r="B620" s="4">
        <v>0</v>
      </c>
      <c r="C620" s="4">
        <v>0</v>
      </c>
      <c r="D620" s="4">
        <v>1</v>
      </c>
      <c r="E620" s="4">
        <v>201</v>
      </c>
      <c r="F620" s="4">
        <f>ROUND(Source!O618,O620)</f>
        <v>74111.070000000007</v>
      </c>
      <c r="G620" s="4" t="s">
        <v>86</v>
      </c>
      <c r="H620" s="4" t="s">
        <v>87</v>
      </c>
      <c r="I620" s="4"/>
      <c r="J620" s="4"/>
      <c r="K620" s="4">
        <v>201</v>
      </c>
      <c r="L620" s="4">
        <v>1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4207.67</v>
      </c>
      <c r="X620" s="4">
        <v>1</v>
      </c>
      <c r="Y620" s="4">
        <v>4207.67</v>
      </c>
      <c r="Z620" s="4"/>
      <c r="AA620" s="4"/>
      <c r="AB620" s="4"/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202</v>
      </c>
      <c r="F621" s="4">
        <f>ROUND(Source!P618,O621)</f>
        <v>29499.69</v>
      </c>
      <c r="G621" s="4" t="s">
        <v>88</v>
      </c>
      <c r="H621" s="4" t="s">
        <v>89</v>
      </c>
      <c r="I621" s="4"/>
      <c r="J621" s="4"/>
      <c r="K621" s="4">
        <v>202</v>
      </c>
      <c r="L621" s="4">
        <v>2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12.18</v>
      </c>
      <c r="X621" s="4">
        <v>1</v>
      </c>
      <c r="Y621" s="4">
        <v>12.18</v>
      </c>
      <c r="Z621" s="4"/>
      <c r="AA621" s="4"/>
      <c r="AB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222</v>
      </c>
      <c r="F622" s="4">
        <f>ROUND(Source!AO618,O622)</f>
        <v>0</v>
      </c>
      <c r="G622" s="4" t="s">
        <v>90</v>
      </c>
      <c r="H622" s="4" t="s">
        <v>91</v>
      </c>
      <c r="I622" s="4"/>
      <c r="J622" s="4"/>
      <c r="K622" s="4">
        <v>222</v>
      </c>
      <c r="L622" s="4">
        <v>3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225</v>
      </c>
      <c r="F623" s="4">
        <f>ROUND(Source!AV618,O623)</f>
        <v>29499.69</v>
      </c>
      <c r="G623" s="4" t="s">
        <v>92</v>
      </c>
      <c r="H623" s="4" t="s">
        <v>93</v>
      </c>
      <c r="I623" s="4"/>
      <c r="J623" s="4"/>
      <c r="K623" s="4">
        <v>225</v>
      </c>
      <c r="L623" s="4">
        <v>4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12.18</v>
      </c>
      <c r="X623" s="4">
        <v>1</v>
      </c>
      <c r="Y623" s="4">
        <v>12.18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226</v>
      </c>
      <c r="F624" s="4">
        <f>ROUND(Source!AW618,O624)</f>
        <v>29499.69</v>
      </c>
      <c r="G624" s="4" t="s">
        <v>94</v>
      </c>
      <c r="H624" s="4" t="s">
        <v>95</v>
      </c>
      <c r="I624" s="4"/>
      <c r="J624" s="4"/>
      <c r="K624" s="4">
        <v>226</v>
      </c>
      <c r="L624" s="4">
        <v>5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12.18</v>
      </c>
      <c r="X624" s="4">
        <v>1</v>
      </c>
      <c r="Y624" s="4">
        <v>12.18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227</v>
      </c>
      <c r="F625" s="4">
        <f>ROUND(Source!AX618,O625)</f>
        <v>0</v>
      </c>
      <c r="G625" s="4" t="s">
        <v>96</v>
      </c>
      <c r="H625" s="4" t="s">
        <v>97</v>
      </c>
      <c r="I625" s="4"/>
      <c r="J625" s="4"/>
      <c r="K625" s="4">
        <v>227</v>
      </c>
      <c r="L625" s="4">
        <v>6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228</v>
      </c>
      <c r="F626" s="4">
        <f>ROUND(Source!AY618,O626)</f>
        <v>29499.69</v>
      </c>
      <c r="G626" s="4" t="s">
        <v>98</v>
      </c>
      <c r="H626" s="4" t="s">
        <v>99</v>
      </c>
      <c r="I626" s="4"/>
      <c r="J626" s="4"/>
      <c r="K626" s="4">
        <v>228</v>
      </c>
      <c r="L626" s="4">
        <v>7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12.18</v>
      </c>
      <c r="X626" s="4">
        <v>1</v>
      </c>
      <c r="Y626" s="4">
        <v>12.18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216</v>
      </c>
      <c r="F627" s="4">
        <f>ROUND(Source!AP618,O627)</f>
        <v>0</v>
      </c>
      <c r="G627" s="4" t="s">
        <v>100</v>
      </c>
      <c r="H627" s="4" t="s">
        <v>101</v>
      </c>
      <c r="I627" s="4"/>
      <c r="J627" s="4"/>
      <c r="K627" s="4">
        <v>216</v>
      </c>
      <c r="L627" s="4">
        <v>8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223</v>
      </c>
      <c r="F628" s="4">
        <f>ROUND(Source!AQ618,O628)</f>
        <v>0</v>
      </c>
      <c r="G628" s="4" t="s">
        <v>102</v>
      </c>
      <c r="H628" s="4" t="s">
        <v>103</v>
      </c>
      <c r="I628" s="4"/>
      <c r="J628" s="4"/>
      <c r="K628" s="4">
        <v>223</v>
      </c>
      <c r="L628" s="4">
        <v>9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229</v>
      </c>
      <c r="F629" s="4">
        <f>ROUND(Source!AZ618,O629)</f>
        <v>0</v>
      </c>
      <c r="G629" s="4" t="s">
        <v>104</v>
      </c>
      <c r="H629" s="4" t="s">
        <v>105</v>
      </c>
      <c r="I629" s="4"/>
      <c r="J629" s="4"/>
      <c r="K629" s="4">
        <v>229</v>
      </c>
      <c r="L629" s="4">
        <v>10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203</v>
      </c>
      <c r="F630" s="4">
        <f>ROUND(Source!Q618,O630)</f>
        <v>7976.43</v>
      </c>
      <c r="G630" s="4" t="s">
        <v>106</v>
      </c>
      <c r="H630" s="4" t="s">
        <v>107</v>
      </c>
      <c r="I630" s="4"/>
      <c r="J630" s="4"/>
      <c r="K630" s="4">
        <v>203</v>
      </c>
      <c r="L630" s="4">
        <v>11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390.9</v>
      </c>
      <c r="X630" s="4">
        <v>1</v>
      </c>
      <c r="Y630" s="4">
        <v>390.9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231</v>
      </c>
      <c r="F631" s="4">
        <f>ROUND(Source!BB618,O631)</f>
        <v>0</v>
      </c>
      <c r="G631" s="4" t="s">
        <v>108</v>
      </c>
      <c r="H631" s="4" t="s">
        <v>109</v>
      </c>
      <c r="I631" s="4"/>
      <c r="J631" s="4"/>
      <c r="K631" s="4">
        <v>231</v>
      </c>
      <c r="L631" s="4">
        <v>12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204</v>
      </c>
      <c r="F632" s="4">
        <f>ROUND(Source!R618,O632)</f>
        <v>4975.28</v>
      </c>
      <c r="G632" s="4" t="s">
        <v>110</v>
      </c>
      <c r="H632" s="4" t="s">
        <v>111</v>
      </c>
      <c r="I632" s="4"/>
      <c r="J632" s="4"/>
      <c r="K632" s="4">
        <v>204</v>
      </c>
      <c r="L632" s="4">
        <v>13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247.85</v>
      </c>
      <c r="X632" s="4">
        <v>1</v>
      </c>
      <c r="Y632" s="4">
        <v>247.85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205</v>
      </c>
      <c r="F633" s="4">
        <f>ROUND(Source!S618,O633)</f>
        <v>36634.949999999997</v>
      </c>
      <c r="G633" s="4" t="s">
        <v>112</v>
      </c>
      <c r="H633" s="4" t="s">
        <v>113</v>
      </c>
      <c r="I633" s="4"/>
      <c r="J633" s="4"/>
      <c r="K633" s="4">
        <v>205</v>
      </c>
      <c r="L633" s="4">
        <v>14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3804.59</v>
      </c>
      <c r="X633" s="4">
        <v>1</v>
      </c>
      <c r="Y633" s="4">
        <v>3804.59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232</v>
      </c>
      <c r="F634" s="4">
        <f>ROUND(Source!BC618,O634)</f>
        <v>0</v>
      </c>
      <c r="G634" s="4" t="s">
        <v>114</v>
      </c>
      <c r="H634" s="4" t="s">
        <v>115</v>
      </c>
      <c r="I634" s="4"/>
      <c r="J634" s="4"/>
      <c r="K634" s="4">
        <v>232</v>
      </c>
      <c r="L634" s="4">
        <v>15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214</v>
      </c>
      <c r="F635" s="4">
        <f>ROUND(Source!AS618,O635)</f>
        <v>0</v>
      </c>
      <c r="G635" s="4" t="s">
        <v>116</v>
      </c>
      <c r="H635" s="4" t="s">
        <v>117</v>
      </c>
      <c r="I635" s="4"/>
      <c r="J635" s="4"/>
      <c r="K635" s="4">
        <v>214</v>
      </c>
      <c r="L635" s="4">
        <v>16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215</v>
      </c>
      <c r="F636" s="4">
        <f>ROUND(Source!AT618,O636)</f>
        <v>0</v>
      </c>
      <c r="G636" s="4" t="s">
        <v>118</v>
      </c>
      <c r="H636" s="4" t="s">
        <v>119</v>
      </c>
      <c r="I636" s="4"/>
      <c r="J636" s="4"/>
      <c r="K636" s="4">
        <v>215</v>
      </c>
      <c r="L636" s="4">
        <v>17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0</v>
      </c>
      <c r="X636" s="4">
        <v>1</v>
      </c>
      <c r="Y636" s="4">
        <v>0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217</v>
      </c>
      <c r="F637" s="4">
        <f>ROUND(Source!AU618,O637)</f>
        <v>108792.36</v>
      </c>
      <c r="G637" s="4" t="s">
        <v>120</v>
      </c>
      <c r="H637" s="4" t="s">
        <v>121</v>
      </c>
      <c r="I637" s="4"/>
      <c r="J637" s="4"/>
      <c r="K637" s="4">
        <v>217</v>
      </c>
      <c r="L637" s="4">
        <v>18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7519.03</v>
      </c>
      <c r="X637" s="4">
        <v>1</v>
      </c>
      <c r="Y637" s="4">
        <v>7519.03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230</v>
      </c>
      <c r="F638" s="4">
        <f>ROUND(Source!BA618,O638)</f>
        <v>0</v>
      </c>
      <c r="G638" s="4" t="s">
        <v>122</v>
      </c>
      <c r="H638" s="4" t="s">
        <v>123</v>
      </c>
      <c r="I638" s="4"/>
      <c r="J638" s="4"/>
      <c r="K638" s="4">
        <v>230</v>
      </c>
      <c r="L638" s="4">
        <v>19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</v>
      </c>
      <c r="X638" s="4">
        <v>1</v>
      </c>
      <c r="Y638" s="4">
        <v>0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206</v>
      </c>
      <c r="F639" s="4">
        <f>ROUND(Source!T618,O639)</f>
        <v>0</v>
      </c>
      <c r="G639" s="4" t="s">
        <v>124</v>
      </c>
      <c r="H639" s="4" t="s">
        <v>125</v>
      </c>
      <c r="I639" s="4"/>
      <c r="J639" s="4"/>
      <c r="K639" s="4">
        <v>206</v>
      </c>
      <c r="L639" s="4">
        <v>20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207</v>
      </c>
      <c r="F640" s="4">
        <f>Source!U618</f>
        <v>58.544500000000006</v>
      </c>
      <c r="G640" s="4" t="s">
        <v>126</v>
      </c>
      <c r="H640" s="4" t="s">
        <v>127</v>
      </c>
      <c r="I640" s="4"/>
      <c r="J640" s="4"/>
      <c r="K640" s="4">
        <v>207</v>
      </c>
      <c r="L640" s="4">
        <v>21</v>
      </c>
      <c r="M640" s="4">
        <v>3</v>
      </c>
      <c r="N640" s="4" t="s">
        <v>3</v>
      </c>
      <c r="O640" s="4">
        <v>-1</v>
      </c>
      <c r="P640" s="4"/>
      <c r="Q640" s="4"/>
      <c r="R640" s="4"/>
      <c r="S640" s="4"/>
      <c r="T640" s="4"/>
      <c r="U640" s="4"/>
      <c r="V640" s="4"/>
      <c r="W640" s="4">
        <v>6.6259999999999994</v>
      </c>
      <c r="X640" s="4">
        <v>1</v>
      </c>
      <c r="Y640" s="4">
        <v>6.6259999999999994</v>
      </c>
      <c r="Z640" s="4"/>
      <c r="AA640" s="4"/>
      <c r="AB640" s="4"/>
    </row>
    <row r="641" spans="1:245" x14ac:dyDescent="0.2">
      <c r="A641" s="4">
        <v>50</v>
      </c>
      <c r="B641" s="4">
        <v>0</v>
      </c>
      <c r="C641" s="4">
        <v>0</v>
      </c>
      <c r="D641" s="4">
        <v>1</v>
      </c>
      <c r="E641" s="4">
        <v>208</v>
      </c>
      <c r="F641" s="4">
        <f>Source!V618</f>
        <v>0</v>
      </c>
      <c r="G641" s="4" t="s">
        <v>128</v>
      </c>
      <c r="H641" s="4" t="s">
        <v>129</v>
      </c>
      <c r="I641" s="4"/>
      <c r="J641" s="4"/>
      <c r="K641" s="4">
        <v>208</v>
      </c>
      <c r="L641" s="4">
        <v>22</v>
      </c>
      <c r="M641" s="4">
        <v>3</v>
      </c>
      <c r="N641" s="4" t="s">
        <v>3</v>
      </c>
      <c r="O641" s="4">
        <v>-1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45" x14ac:dyDescent="0.2">
      <c r="A642" s="4">
        <v>50</v>
      </c>
      <c r="B642" s="4">
        <v>0</v>
      </c>
      <c r="C642" s="4">
        <v>0</v>
      </c>
      <c r="D642" s="4">
        <v>1</v>
      </c>
      <c r="E642" s="4">
        <v>209</v>
      </c>
      <c r="F642" s="4">
        <f>ROUND(Source!W618,O642)</f>
        <v>0</v>
      </c>
      <c r="G642" s="4" t="s">
        <v>130</v>
      </c>
      <c r="H642" s="4" t="s">
        <v>131</v>
      </c>
      <c r="I642" s="4"/>
      <c r="J642" s="4"/>
      <c r="K642" s="4">
        <v>209</v>
      </c>
      <c r="L642" s="4">
        <v>23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45" x14ac:dyDescent="0.2">
      <c r="A643" s="4">
        <v>50</v>
      </c>
      <c r="B643" s="4">
        <v>0</v>
      </c>
      <c r="C643" s="4">
        <v>0</v>
      </c>
      <c r="D643" s="4">
        <v>1</v>
      </c>
      <c r="E643" s="4">
        <v>233</v>
      </c>
      <c r="F643" s="4">
        <f>ROUND(Source!BD618,O643)</f>
        <v>0</v>
      </c>
      <c r="G643" s="4" t="s">
        <v>132</v>
      </c>
      <c r="H643" s="4" t="s">
        <v>133</v>
      </c>
      <c r="I643" s="4"/>
      <c r="J643" s="4"/>
      <c r="K643" s="4">
        <v>233</v>
      </c>
      <c r="L643" s="4">
        <v>24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45" x14ac:dyDescent="0.2">
      <c r="A644" s="4">
        <v>50</v>
      </c>
      <c r="B644" s="4">
        <v>0</v>
      </c>
      <c r="C644" s="4">
        <v>0</v>
      </c>
      <c r="D644" s="4">
        <v>1</v>
      </c>
      <c r="E644" s="4">
        <v>210</v>
      </c>
      <c r="F644" s="4">
        <f>ROUND(Source!X618,O644)</f>
        <v>25644.48</v>
      </c>
      <c r="G644" s="4" t="s">
        <v>134</v>
      </c>
      <c r="H644" s="4" t="s">
        <v>135</v>
      </c>
      <c r="I644" s="4"/>
      <c r="J644" s="4"/>
      <c r="K644" s="4">
        <v>210</v>
      </c>
      <c r="L644" s="4">
        <v>25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2663.22</v>
      </c>
      <c r="X644" s="4">
        <v>1</v>
      </c>
      <c r="Y644" s="4">
        <v>2663.22</v>
      </c>
      <c r="Z644" s="4"/>
      <c r="AA644" s="4"/>
      <c r="AB644" s="4"/>
    </row>
    <row r="645" spans="1:245" x14ac:dyDescent="0.2">
      <c r="A645" s="4">
        <v>50</v>
      </c>
      <c r="B645" s="4">
        <v>0</v>
      </c>
      <c r="C645" s="4">
        <v>0</v>
      </c>
      <c r="D645" s="4">
        <v>1</v>
      </c>
      <c r="E645" s="4">
        <v>211</v>
      </c>
      <c r="F645" s="4">
        <f>ROUND(Source!Y618,O645)</f>
        <v>3663.51</v>
      </c>
      <c r="G645" s="4" t="s">
        <v>136</v>
      </c>
      <c r="H645" s="4" t="s">
        <v>137</v>
      </c>
      <c r="I645" s="4"/>
      <c r="J645" s="4"/>
      <c r="K645" s="4">
        <v>211</v>
      </c>
      <c r="L645" s="4">
        <v>26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380.46</v>
      </c>
      <c r="X645" s="4">
        <v>1</v>
      </c>
      <c r="Y645" s="4">
        <v>380.46</v>
      </c>
      <c r="Z645" s="4"/>
      <c r="AA645" s="4"/>
      <c r="AB645" s="4"/>
    </row>
    <row r="646" spans="1:245" x14ac:dyDescent="0.2">
      <c r="A646" s="4">
        <v>50</v>
      </c>
      <c r="B646" s="4">
        <v>0</v>
      </c>
      <c r="C646" s="4">
        <v>0</v>
      </c>
      <c r="D646" s="4">
        <v>1</v>
      </c>
      <c r="E646" s="4">
        <v>224</v>
      </c>
      <c r="F646" s="4">
        <f>ROUND(Source!AR618,O646)</f>
        <v>108792.36</v>
      </c>
      <c r="G646" s="4" t="s">
        <v>138</v>
      </c>
      <c r="H646" s="4" t="s">
        <v>139</v>
      </c>
      <c r="I646" s="4"/>
      <c r="J646" s="4"/>
      <c r="K646" s="4">
        <v>224</v>
      </c>
      <c r="L646" s="4">
        <v>27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7519.03</v>
      </c>
      <c r="X646" s="4">
        <v>1</v>
      </c>
      <c r="Y646" s="4">
        <v>7519.03</v>
      </c>
      <c r="Z646" s="4"/>
      <c r="AA646" s="4"/>
      <c r="AB646" s="4"/>
    </row>
    <row r="648" spans="1:245" x14ac:dyDescent="0.2">
      <c r="A648" s="1">
        <v>5</v>
      </c>
      <c r="B648" s="1">
        <v>1</v>
      </c>
      <c r="C648" s="1"/>
      <c r="D648" s="1">
        <f>ROW(A665)</f>
        <v>665</v>
      </c>
      <c r="E648" s="1"/>
      <c r="F648" s="1" t="s">
        <v>14</v>
      </c>
      <c r="G648" s="1" t="s">
        <v>310</v>
      </c>
      <c r="H648" s="1" t="s">
        <v>3</v>
      </c>
      <c r="I648" s="1">
        <v>0</v>
      </c>
      <c r="J648" s="1"/>
      <c r="K648" s="1">
        <v>-1</v>
      </c>
      <c r="L648" s="1"/>
      <c r="M648" s="1" t="s">
        <v>3</v>
      </c>
      <c r="N648" s="1"/>
      <c r="O648" s="1"/>
      <c r="P648" s="1"/>
      <c r="Q648" s="1"/>
      <c r="R648" s="1"/>
      <c r="S648" s="1">
        <v>0</v>
      </c>
      <c r="T648" s="1"/>
      <c r="U648" s="1" t="s">
        <v>3</v>
      </c>
      <c r="V648" s="1">
        <v>0</v>
      </c>
      <c r="W648" s="1"/>
      <c r="X648" s="1"/>
      <c r="Y648" s="1"/>
      <c r="Z648" s="1"/>
      <c r="AA648" s="1"/>
      <c r="AB648" s="1" t="s">
        <v>3</v>
      </c>
      <c r="AC648" s="1" t="s">
        <v>3</v>
      </c>
      <c r="AD648" s="1" t="s">
        <v>3</v>
      </c>
      <c r="AE648" s="1" t="s">
        <v>3</v>
      </c>
      <c r="AF648" s="1" t="s">
        <v>3</v>
      </c>
      <c r="AG648" s="1" t="s">
        <v>3</v>
      </c>
      <c r="AH648" s="1"/>
      <c r="AI648" s="1"/>
      <c r="AJ648" s="1"/>
      <c r="AK648" s="1"/>
      <c r="AL648" s="1"/>
      <c r="AM648" s="1"/>
      <c r="AN648" s="1"/>
      <c r="AO648" s="1"/>
      <c r="AP648" s="1" t="s">
        <v>3</v>
      </c>
      <c r="AQ648" s="1" t="s">
        <v>3</v>
      </c>
      <c r="AR648" s="1" t="s">
        <v>3</v>
      </c>
      <c r="AS648" s="1"/>
      <c r="AT648" s="1"/>
      <c r="AU648" s="1"/>
      <c r="AV648" s="1"/>
      <c r="AW648" s="1"/>
      <c r="AX648" s="1"/>
      <c r="AY648" s="1"/>
      <c r="AZ648" s="1" t="s">
        <v>3</v>
      </c>
      <c r="BA648" s="1"/>
      <c r="BB648" s="1" t="s">
        <v>3</v>
      </c>
      <c r="BC648" s="1" t="s">
        <v>3</v>
      </c>
      <c r="BD648" s="1" t="s">
        <v>3</v>
      </c>
      <c r="BE648" s="1" t="s">
        <v>3</v>
      </c>
      <c r="BF648" s="1" t="s">
        <v>3</v>
      </c>
      <c r="BG648" s="1" t="s">
        <v>3</v>
      </c>
      <c r="BH648" s="1" t="s">
        <v>3</v>
      </c>
      <c r="BI648" s="1" t="s">
        <v>3</v>
      </c>
      <c r="BJ648" s="1" t="s">
        <v>3</v>
      </c>
      <c r="BK648" s="1" t="s">
        <v>3</v>
      </c>
      <c r="BL648" s="1" t="s">
        <v>3</v>
      </c>
      <c r="BM648" s="1" t="s">
        <v>3</v>
      </c>
      <c r="BN648" s="1" t="s">
        <v>3</v>
      </c>
      <c r="BO648" s="1" t="s">
        <v>3</v>
      </c>
      <c r="BP648" s="1" t="s">
        <v>3</v>
      </c>
      <c r="BQ648" s="1"/>
      <c r="BR648" s="1"/>
      <c r="BS648" s="1"/>
      <c r="BT648" s="1"/>
      <c r="BU648" s="1"/>
      <c r="BV648" s="1"/>
      <c r="BW648" s="1"/>
      <c r="BX648" s="1">
        <v>0</v>
      </c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>
        <v>0</v>
      </c>
    </row>
    <row r="650" spans="1:245" x14ac:dyDescent="0.2">
      <c r="A650" s="2">
        <v>52</v>
      </c>
      <c r="B650" s="2">
        <f t="shared" ref="B650:G650" si="490">B665</f>
        <v>1</v>
      </c>
      <c r="C650" s="2">
        <f t="shared" si="490"/>
        <v>5</v>
      </c>
      <c r="D650" s="2">
        <f t="shared" si="490"/>
        <v>648</v>
      </c>
      <c r="E650" s="2">
        <f t="shared" si="490"/>
        <v>0</v>
      </c>
      <c r="F650" s="2" t="str">
        <f t="shared" si="490"/>
        <v>Новый подраздел</v>
      </c>
      <c r="G650" s="2" t="str">
        <f t="shared" si="490"/>
        <v>Кондиционирование</v>
      </c>
      <c r="H650" s="2"/>
      <c r="I650" s="2"/>
      <c r="J650" s="2"/>
      <c r="K650" s="2"/>
      <c r="L650" s="2"/>
      <c r="M650" s="2"/>
      <c r="N650" s="2"/>
      <c r="O650" s="2">
        <f t="shared" ref="O650:AT650" si="491">O665</f>
        <v>12974.55</v>
      </c>
      <c r="P650" s="2">
        <f t="shared" si="491"/>
        <v>8.4</v>
      </c>
      <c r="Q650" s="2">
        <f t="shared" si="491"/>
        <v>26.4</v>
      </c>
      <c r="R650" s="2">
        <f t="shared" si="491"/>
        <v>0.35</v>
      </c>
      <c r="S650" s="2">
        <f t="shared" si="491"/>
        <v>12939.75</v>
      </c>
      <c r="T650" s="2">
        <f t="shared" si="491"/>
        <v>0</v>
      </c>
      <c r="U650" s="2">
        <f t="shared" si="491"/>
        <v>19.5</v>
      </c>
      <c r="V650" s="2">
        <f t="shared" si="491"/>
        <v>0</v>
      </c>
      <c r="W650" s="2">
        <f t="shared" si="491"/>
        <v>0</v>
      </c>
      <c r="X650" s="2">
        <f t="shared" si="491"/>
        <v>9057.83</v>
      </c>
      <c r="Y650" s="2">
        <f t="shared" si="491"/>
        <v>1293.98</v>
      </c>
      <c r="Z650" s="2">
        <f t="shared" si="491"/>
        <v>0</v>
      </c>
      <c r="AA650" s="2">
        <f t="shared" si="491"/>
        <v>0</v>
      </c>
      <c r="AB650" s="2">
        <f t="shared" si="491"/>
        <v>12974.55</v>
      </c>
      <c r="AC650" s="2">
        <f t="shared" si="491"/>
        <v>8.4</v>
      </c>
      <c r="AD650" s="2">
        <f t="shared" si="491"/>
        <v>26.4</v>
      </c>
      <c r="AE650" s="2">
        <f t="shared" si="491"/>
        <v>0.35</v>
      </c>
      <c r="AF650" s="2">
        <f t="shared" si="491"/>
        <v>12939.75</v>
      </c>
      <c r="AG650" s="2">
        <f t="shared" si="491"/>
        <v>0</v>
      </c>
      <c r="AH650" s="2">
        <f t="shared" si="491"/>
        <v>19.5</v>
      </c>
      <c r="AI650" s="2">
        <f t="shared" si="491"/>
        <v>0</v>
      </c>
      <c r="AJ650" s="2">
        <f t="shared" si="491"/>
        <v>0</v>
      </c>
      <c r="AK650" s="2">
        <f t="shared" si="491"/>
        <v>9057.83</v>
      </c>
      <c r="AL650" s="2">
        <f t="shared" si="491"/>
        <v>1293.98</v>
      </c>
      <c r="AM650" s="2">
        <f t="shared" si="491"/>
        <v>0</v>
      </c>
      <c r="AN650" s="2">
        <f t="shared" si="491"/>
        <v>0</v>
      </c>
      <c r="AO650" s="2">
        <f t="shared" si="491"/>
        <v>0</v>
      </c>
      <c r="AP650" s="2">
        <f t="shared" si="491"/>
        <v>0</v>
      </c>
      <c r="AQ650" s="2">
        <f t="shared" si="491"/>
        <v>0</v>
      </c>
      <c r="AR650" s="2">
        <f t="shared" si="491"/>
        <v>23326.74</v>
      </c>
      <c r="AS650" s="2">
        <f t="shared" si="491"/>
        <v>0</v>
      </c>
      <c r="AT650" s="2">
        <f t="shared" si="491"/>
        <v>0</v>
      </c>
      <c r="AU650" s="2">
        <f t="shared" ref="AU650:BZ650" si="492">AU665</f>
        <v>23326.74</v>
      </c>
      <c r="AV650" s="2">
        <f t="shared" si="492"/>
        <v>8.4</v>
      </c>
      <c r="AW650" s="2">
        <f t="shared" si="492"/>
        <v>8.4</v>
      </c>
      <c r="AX650" s="2">
        <f t="shared" si="492"/>
        <v>0</v>
      </c>
      <c r="AY650" s="2">
        <f t="shared" si="492"/>
        <v>8.4</v>
      </c>
      <c r="AZ650" s="2">
        <f t="shared" si="492"/>
        <v>0</v>
      </c>
      <c r="BA650" s="2">
        <f t="shared" si="492"/>
        <v>0</v>
      </c>
      <c r="BB650" s="2">
        <f t="shared" si="492"/>
        <v>0</v>
      </c>
      <c r="BC650" s="2">
        <f t="shared" si="492"/>
        <v>0</v>
      </c>
      <c r="BD650" s="2">
        <f t="shared" si="492"/>
        <v>0</v>
      </c>
      <c r="BE650" s="2">
        <f t="shared" si="492"/>
        <v>0</v>
      </c>
      <c r="BF650" s="2">
        <f t="shared" si="492"/>
        <v>0</v>
      </c>
      <c r="BG650" s="2">
        <f t="shared" si="492"/>
        <v>0</v>
      </c>
      <c r="BH650" s="2">
        <f t="shared" si="492"/>
        <v>0</v>
      </c>
      <c r="BI650" s="2">
        <f t="shared" si="492"/>
        <v>0</v>
      </c>
      <c r="BJ650" s="2">
        <f t="shared" si="492"/>
        <v>0</v>
      </c>
      <c r="BK650" s="2">
        <f t="shared" si="492"/>
        <v>0</v>
      </c>
      <c r="BL650" s="2">
        <f t="shared" si="492"/>
        <v>0</v>
      </c>
      <c r="BM650" s="2">
        <f t="shared" si="492"/>
        <v>0</v>
      </c>
      <c r="BN650" s="2">
        <f t="shared" si="492"/>
        <v>0</v>
      </c>
      <c r="BO650" s="2">
        <f t="shared" si="492"/>
        <v>0</v>
      </c>
      <c r="BP650" s="2">
        <f t="shared" si="492"/>
        <v>0</v>
      </c>
      <c r="BQ650" s="2">
        <f t="shared" si="492"/>
        <v>0</v>
      </c>
      <c r="BR650" s="2">
        <f t="shared" si="492"/>
        <v>0</v>
      </c>
      <c r="BS650" s="2">
        <f t="shared" si="492"/>
        <v>0</v>
      </c>
      <c r="BT650" s="2">
        <f t="shared" si="492"/>
        <v>0</v>
      </c>
      <c r="BU650" s="2">
        <f t="shared" si="492"/>
        <v>0</v>
      </c>
      <c r="BV650" s="2">
        <f t="shared" si="492"/>
        <v>0</v>
      </c>
      <c r="BW650" s="2">
        <f t="shared" si="492"/>
        <v>0</v>
      </c>
      <c r="BX650" s="2">
        <f t="shared" si="492"/>
        <v>0</v>
      </c>
      <c r="BY650" s="2">
        <f t="shared" si="492"/>
        <v>0</v>
      </c>
      <c r="BZ650" s="2">
        <f t="shared" si="492"/>
        <v>0</v>
      </c>
      <c r="CA650" s="2">
        <f t="shared" ref="CA650:DF650" si="493">CA665</f>
        <v>23326.74</v>
      </c>
      <c r="CB650" s="2">
        <f t="shared" si="493"/>
        <v>0</v>
      </c>
      <c r="CC650" s="2">
        <f t="shared" si="493"/>
        <v>0</v>
      </c>
      <c r="CD650" s="2">
        <f t="shared" si="493"/>
        <v>23326.74</v>
      </c>
      <c r="CE650" s="2">
        <f t="shared" si="493"/>
        <v>8.4</v>
      </c>
      <c r="CF650" s="2">
        <f t="shared" si="493"/>
        <v>8.4</v>
      </c>
      <c r="CG650" s="2">
        <f t="shared" si="493"/>
        <v>0</v>
      </c>
      <c r="CH650" s="2">
        <f t="shared" si="493"/>
        <v>8.4</v>
      </c>
      <c r="CI650" s="2">
        <f t="shared" si="493"/>
        <v>0</v>
      </c>
      <c r="CJ650" s="2">
        <f t="shared" si="493"/>
        <v>0</v>
      </c>
      <c r="CK650" s="2">
        <f t="shared" si="493"/>
        <v>0</v>
      </c>
      <c r="CL650" s="2">
        <f t="shared" si="493"/>
        <v>0</v>
      </c>
      <c r="CM650" s="2">
        <f t="shared" si="493"/>
        <v>0</v>
      </c>
      <c r="CN650" s="2">
        <f t="shared" si="493"/>
        <v>0</v>
      </c>
      <c r="CO650" s="2">
        <f t="shared" si="493"/>
        <v>0</v>
      </c>
      <c r="CP650" s="2">
        <f t="shared" si="493"/>
        <v>0</v>
      </c>
      <c r="CQ650" s="2">
        <f t="shared" si="493"/>
        <v>0</v>
      </c>
      <c r="CR650" s="2">
        <f t="shared" si="493"/>
        <v>0</v>
      </c>
      <c r="CS650" s="2">
        <f t="shared" si="493"/>
        <v>0</v>
      </c>
      <c r="CT650" s="2">
        <f t="shared" si="493"/>
        <v>0</v>
      </c>
      <c r="CU650" s="2">
        <f t="shared" si="493"/>
        <v>0</v>
      </c>
      <c r="CV650" s="2">
        <f t="shared" si="493"/>
        <v>0</v>
      </c>
      <c r="CW650" s="2">
        <f t="shared" si="493"/>
        <v>0</v>
      </c>
      <c r="CX650" s="2">
        <f t="shared" si="493"/>
        <v>0</v>
      </c>
      <c r="CY650" s="2">
        <f t="shared" si="493"/>
        <v>0</v>
      </c>
      <c r="CZ650" s="2">
        <f t="shared" si="493"/>
        <v>0</v>
      </c>
      <c r="DA650" s="2">
        <f t="shared" si="493"/>
        <v>0</v>
      </c>
      <c r="DB650" s="2">
        <f t="shared" si="493"/>
        <v>0</v>
      </c>
      <c r="DC650" s="2">
        <f t="shared" si="493"/>
        <v>0</v>
      </c>
      <c r="DD650" s="2">
        <f t="shared" si="493"/>
        <v>0</v>
      </c>
      <c r="DE650" s="2">
        <f t="shared" si="493"/>
        <v>0</v>
      </c>
      <c r="DF650" s="2">
        <f t="shared" si="493"/>
        <v>0</v>
      </c>
      <c r="DG650" s="3">
        <f t="shared" ref="DG650:EL650" si="494">DG665</f>
        <v>0</v>
      </c>
      <c r="DH650" s="3">
        <f t="shared" si="494"/>
        <v>0</v>
      </c>
      <c r="DI650" s="3">
        <f t="shared" si="494"/>
        <v>0</v>
      </c>
      <c r="DJ650" s="3">
        <f t="shared" si="494"/>
        <v>0</v>
      </c>
      <c r="DK650" s="3">
        <f t="shared" si="494"/>
        <v>0</v>
      </c>
      <c r="DL650" s="3">
        <f t="shared" si="494"/>
        <v>0</v>
      </c>
      <c r="DM650" s="3">
        <f t="shared" si="494"/>
        <v>0</v>
      </c>
      <c r="DN650" s="3">
        <f t="shared" si="494"/>
        <v>0</v>
      </c>
      <c r="DO650" s="3">
        <f t="shared" si="494"/>
        <v>0</v>
      </c>
      <c r="DP650" s="3">
        <f t="shared" si="494"/>
        <v>0</v>
      </c>
      <c r="DQ650" s="3">
        <f t="shared" si="494"/>
        <v>0</v>
      </c>
      <c r="DR650" s="3">
        <f t="shared" si="494"/>
        <v>0</v>
      </c>
      <c r="DS650" s="3">
        <f t="shared" si="494"/>
        <v>0</v>
      </c>
      <c r="DT650" s="3">
        <f t="shared" si="494"/>
        <v>0</v>
      </c>
      <c r="DU650" s="3">
        <f t="shared" si="494"/>
        <v>0</v>
      </c>
      <c r="DV650" s="3">
        <f t="shared" si="494"/>
        <v>0</v>
      </c>
      <c r="DW650" s="3">
        <f t="shared" si="494"/>
        <v>0</v>
      </c>
      <c r="DX650" s="3">
        <f t="shared" si="494"/>
        <v>0</v>
      </c>
      <c r="DY650" s="3">
        <f t="shared" si="494"/>
        <v>0</v>
      </c>
      <c r="DZ650" s="3">
        <f t="shared" si="494"/>
        <v>0</v>
      </c>
      <c r="EA650" s="3">
        <f t="shared" si="494"/>
        <v>0</v>
      </c>
      <c r="EB650" s="3">
        <f t="shared" si="494"/>
        <v>0</v>
      </c>
      <c r="EC650" s="3">
        <f t="shared" si="494"/>
        <v>0</v>
      </c>
      <c r="ED650" s="3">
        <f t="shared" si="494"/>
        <v>0</v>
      </c>
      <c r="EE650" s="3">
        <f t="shared" si="494"/>
        <v>0</v>
      </c>
      <c r="EF650" s="3">
        <f t="shared" si="494"/>
        <v>0</v>
      </c>
      <c r="EG650" s="3">
        <f t="shared" si="494"/>
        <v>0</v>
      </c>
      <c r="EH650" s="3">
        <f t="shared" si="494"/>
        <v>0</v>
      </c>
      <c r="EI650" s="3">
        <f t="shared" si="494"/>
        <v>0</v>
      </c>
      <c r="EJ650" s="3">
        <f t="shared" si="494"/>
        <v>0</v>
      </c>
      <c r="EK650" s="3">
        <f t="shared" si="494"/>
        <v>0</v>
      </c>
      <c r="EL650" s="3">
        <f t="shared" si="494"/>
        <v>0</v>
      </c>
      <c r="EM650" s="3">
        <f t="shared" ref="EM650:FR650" si="495">EM665</f>
        <v>0</v>
      </c>
      <c r="EN650" s="3">
        <f t="shared" si="495"/>
        <v>0</v>
      </c>
      <c r="EO650" s="3">
        <f t="shared" si="495"/>
        <v>0</v>
      </c>
      <c r="EP650" s="3">
        <f t="shared" si="495"/>
        <v>0</v>
      </c>
      <c r="EQ650" s="3">
        <f t="shared" si="495"/>
        <v>0</v>
      </c>
      <c r="ER650" s="3">
        <f t="shared" si="495"/>
        <v>0</v>
      </c>
      <c r="ES650" s="3">
        <f t="shared" si="495"/>
        <v>0</v>
      </c>
      <c r="ET650" s="3">
        <f t="shared" si="495"/>
        <v>0</v>
      </c>
      <c r="EU650" s="3">
        <f t="shared" si="495"/>
        <v>0</v>
      </c>
      <c r="EV650" s="3">
        <f t="shared" si="495"/>
        <v>0</v>
      </c>
      <c r="EW650" s="3">
        <f t="shared" si="495"/>
        <v>0</v>
      </c>
      <c r="EX650" s="3">
        <f t="shared" si="495"/>
        <v>0</v>
      </c>
      <c r="EY650" s="3">
        <f t="shared" si="495"/>
        <v>0</v>
      </c>
      <c r="EZ650" s="3">
        <f t="shared" si="495"/>
        <v>0</v>
      </c>
      <c r="FA650" s="3">
        <f t="shared" si="495"/>
        <v>0</v>
      </c>
      <c r="FB650" s="3">
        <f t="shared" si="495"/>
        <v>0</v>
      </c>
      <c r="FC650" s="3">
        <f t="shared" si="495"/>
        <v>0</v>
      </c>
      <c r="FD650" s="3">
        <f t="shared" si="495"/>
        <v>0</v>
      </c>
      <c r="FE650" s="3">
        <f t="shared" si="495"/>
        <v>0</v>
      </c>
      <c r="FF650" s="3">
        <f t="shared" si="495"/>
        <v>0</v>
      </c>
      <c r="FG650" s="3">
        <f t="shared" si="495"/>
        <v>0</v>
      </c>
      <c r="FH650" s="3">
        <f t="shared" si="495"/>
        <v>0</v>
      </c>
      <c r="FI650" s="3">
        <f t="shared" si="495"/>
        <v>0</v>
      </c>
      <c r="FJ650" s="3">
        <f t="shared" si="495"/>
        <v>0</v>
      </c>
      <c r="FK650" s="3">
        <f t="shared" si="495"/>
        <v>0</v>
      </c>
      <c r="FL650" s="3">
        <f t="shared" si="495"/>
        <v>0</v>
      </c>
      <c r="FM650" s="3">
        <f t="shared" si="495"/>
        <v>0</v>
      </c>
      <c r="FN650" s="3">
        <f t="shared" si="495"/>
        <v>0</v>
      </c>
      <c r="FO650" s="3">
        <f t="shared" si="495"/>
        <v>0</v>
      </c>
      <c r="FP650" s="3">
        <f t="shared" si="495"/>
        <v>0</v>
      </c>
      <c r="FQ650" s="3">
        <f t="shared" si="495"/>
        <v>0</v>
      </c>
      <c r="FR650" s="3">
        <f t="shared" si="495"/>
        <v>0</v>
      </c>
      <c r="FS650" s="3">
        <f t="shared" ref="FS650:GX650" si="496">FS665</f>
        <v>0</v>
      </c>
      <c r="FT650" s="3">
        <f t="shared" si="496"/>
        <v>0</v>
      </c>
      <c r="FU650" s="3">
        <f t="shared" si="496"/>
        <v>0</v>
      </c>
      <c r="FV650" s="3">
        <f t="shared" si="496"/>
        <v>0</v>
      </c>
      <c r="FW650" s="3">
        <f t="shared" si="496"/>
        <v>0</v>
      </c>
      <c r="FX650" s="3">
        <f t="shared" si="496"/>
        <v>0</v>
      </c>
      <c r="FY650" s="3">
        <f t="shared" si="496"/>
        <v>0</v>
      </c>
      <c r="FZ650" s="3">
        <f t="shared" si="496"/>
        <v>0</v>
      </c>
      <c r="GA650" s="3">
        <f t="shared" si="496"/>
        <v>0</v>
      </c>
      <c r="GB650" s="3">
        <f t="shared" si="496"/>
        <v>0</v>
      </c>
      <c r="GC650" s="3">
        <f t="shared" si="496"/>
        <v>0</v>
      </c>
      <c r="GD650" s="3">
        <f t="shared" si="496"/>
        <v>0</v>
      </c>
      <c r="GE650" s="3">
        <f t="shared" si="496"/>
        <v>0</v>
      </c>
      <c r="GF650" s="3">
        <f t="shared" si="496"/>
        <v>0</v>
      </c>
      <c r="GG650" s="3">
        <f t="shared" si="496"/>
        <v>0</v>
      </c>
      <c r="GH650" s="3">
        <f t="shared" si="496"/>
        <v>0</v>
      </c>
      <c r="GI650" s="3">
        <f t="shared" si="496"/>
        <v>0</v>
      </c>
      <c r="GJ650" s="3">
        <f t="shared" si="496"/>
        <v>0</v>
      </c>
      <c r="GK650" s="3">
        <f t="shared" si="496"/>
        <v>0</v>
      </c>
      <c r="GL650" s="3">
        <f t="shared" si="496"/>
        <v>0</v>
      </c>
      <c r="GM650" s="3">
        <f t="shared" si="496"/>
        <v>0</v>
      </c>
      <c r="GN650" s="3">
        <f t="shared" si="496"/>
        <v>0</v>
      </c>
      <c r="GO650" s="3">
        <f t="shared" si="496"/>
        <v>0</v>
      </c>
      <c r="GP650" s="3">
        <f t="shared" si="496"/>
        <v>0</v>
      </c>
      <c r="GQ650" s="3">
        <f t="shared" si="496"/>
        <v>0</v>
      </c>
      <c r="GR650" s="3">
        <f t="shared" si="496"/>
        <v>0</v>
      </c>
      <c r="GS650" s="3">
        <f t="shared" si="496"/>
        <v>0</v>
      </c>
      <c r="GT650" s="3">
        <f t="shared" si="496"/>
        <v>0</v>
      </c>
      <c r="GU650" s="3">
        <f t="shared" si="496"/>
        <v>0</v>
      </c>
      <c r="GV650" s="3">
        <f t="shared" si="496"/>
        <v>0</v>
      </c>
      <c r="GW650" s="3">
        <f t="shared" si="496"/>
        <v>0</v>
      </c>
      <c r="GX650" s="3">
        <f t="shared" si="496"/>
        <v>0</v>
      </c>
    </row>
    <row r="652" spans="1:245" x14ac:dyDescent="0.2">
      <c r="A652">
        <v>17</v>
      </c>
      <c r="B652">
        <v>1</v>
      </c>
      <c r="D652">
        <f>ROW(EtalonRes!A381)</f>
        <v>381</v>
      </c>
      <c r="E652" t="s">
        <v>311</v>
      </c>
      <c r="F652" t="s">
        <v>312</v>
      </c>
      <c r="G652" t="s">
        <v>313</v>
      </c>
      <c r="H652" t="s">
        <v>314</v>
      </c>
      <c r="I652">
        <v>5</v>
      </c>
      <c r="J652">
        <v>0</v>
      </c>
      <c r="K652">
        <v>5</v>
      </c>
      <c r="O652">
        <f t="shared" ref="O652:O663" si="497">ROUND(CP652,2)</f>
        <v>4724.05</v>
      </c>
      <c r="P652">
        <f t="shared" ref="P652:P663" si="498">ROUND(CQ652*I652,2)</f>
        <v>3.7</v>
      </c>
      <c r="Q652">
        <f t="shared" ref="Q652:Q663" si="499">ROUND(CR652*I652,2)</f>
        <v>8.9499999999999993</v>
      </c>
      <c r="R652">
        <f t="shared" ref="R652:R663" si="500">ROUND(CS652*I652,2)</f>
        <v>0.1</v>
      </c>
      <c r="S652">
        <f t="shared" ref="S652:S663" si="501">ROUND(CT652*I652,2)</f>
        <v>4711.3999999999996</v>
      </c>
      <c r="T652">
        <f t="shared" ref="T652:T663" si="502">ROUND(CU652*I652,2)</f>
        <v>0</v>
      </c>
      <c r="U652">
        <f t="shared" ref="U652:U663" si="503">CV652*I652</f>
        <v>7.1</v>
      </c>
      <c r="V652">
        <f t="shared" ref="V652:V663" si="504">CW652*I652</f>
        <v>0</v>
      </c>
      <c r="W652">
        <f t="shared" ref="W652:W663" si="505">ROUND(CX652*I652,2)</f>
        <v>0</v>
      </c>
      <c r="X652">
        <f t="shared" ref="X652:X663" si="506">ROUND(CY652,2)</f>
        <v>3297.98</v>
      </c>
      <c r="Y652">
        <f t="shared" ref="Y652:Y663" si="507">ROUND(CZ652,2)</f>
        <v>471.14</v>
      </c>
      <c r="AA652">
        <v>1471531721</v>
      </c>
      <c r="AB652">
        <f t="shared" ref="AB652:AB663" si="508">ROUND((AC652+AD652+AF652),6)</f>
        <v>944.81</v>
      </c>
      <c r="AC652">
        <f>ROUND((ES652),6)</f>
        <v>0.74</v>
      </c>
      <c r="AD652">
        <f>ROUND((((ET652)-(EU652))+AE652),6)</f>
        <v>1.79</v>
      </c>
      <c r="AE652">
        <f>ROUND((EU652),6)</f>
        <v>0.02</v>
      </c>
      <c r="AF652">
        <f>ROUND((EV652),6)</f>
        <v>942.28</v>
      </c>
      <c r="AG652">
        <f t="shared" ref="AG652:AG663" si="509">ROUND((AP652),6)</f>
        <v>0</v>
      </c>
      <c r="AH652">
        <f>(EW652)</f>
        <v>1.42</v>
      </c>
      <c r="AI652">
        <f>(EX652)</f>
        <v>0</v>
      </c>
      <c r="AJ652">
        <f t="shared" ref="AJ652:AJ663" si="510">(AS652)</f>
        <v>0</v>
      </c>
      <c r="AK652">
        <v>944.81</v>
      </c>
      <c r="AL652">
        <v>0.74</v>
      </c>
      <c r="AM652">
        <v>1.79</v>
      </c>
      <c r="AN652">
        <v>0.02</v>
      </c>
      <c r="AO652">
        <v>942.28</v>
      </c>
      <c r="AP652">
        <v>0</v>
      </c>
      <c r="AQ652">
        <v>1.42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315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ref="CP652:CP663" si="511">(P652+Q652+S652)</f>
        <v>4724.0499999999993</v>
      </c>
      <c r="CQ652">
        <f t="shared" ref="CQ652:CQ663" si="512">(AC652*BC652*AW652)</f>
        <v>0.74</v>
      </c>
      <c r="CR652">
        <f>((((ET652)*BB652-(EU652)*BS652)+AE652*BS652)*AV652)</f>
        <v>1.79</v>
      </c>
      <c r="CS652">
        <f t="shared" ref="CS652:CS663" si="513">(AE652*BS652*AV652)</f>
        <v>0.02</v>
      </c>
      <c r="CT652">
        <f t="shared" ref="CT652:CT663" si="514">(AF652*BA652*AV652)</f>
        <v>942.28</v>
      </c>
      <c r="CU652">
        <f t="shared" ref="CU652:CU663" si="515">AG652</f>
        <v>0</v>
      </c>
      <c r="CV652">
        <f t="shared" ref="CV652:CV663" si="516">(AH652*AV652)</f>
        <v>1.42</v>
      </c>
      <c r="CW652">
        <f t="shared" ref="CW652:CW663" si="517">AI652</f>
        <v>0</v>
      </c>
      <c r="CX652">
        <f t="shared" ref="CX652:CX663" si="518">AJ652</f>
        <v>0</v>
      </c>
      <c r="CY652">
        <f t="shared" ref="CY652:CY663" si="519">((S652*BZ652)/100)</f>
        <v>3297.98</v>
      </c>
      <c r="CZ652">
        <f t="shared" ref="CZ652:CZ663" si="520">((S652*CA652)/100)</f>
        <v>471.14</v>
      </c>
      <c r="DC652" t="s">
        <v>3</v>
      </c>
      <c r="DD652" t="s">
        <v>3</v>
      </c>
      <c r="DE652" t="s">
        <v>3</v>
      </c>
      <c r="DF652" t="s">
        <v>3</v>
      </c>
      <c r="DG652" t="s">
        <v>3</v>
      </c>
      <c r="DH652" t="s">
        <v>3</v>
      </c>
      <c r="DI652" t="s">
        <v>3</v>
      </c>
      <c r="DJ652" t="s">
        <v>3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1013</v>
      </c>
      <c r="DV652" t="s">
        <v>314</v>
      </c>
      <c r="DW652" t="s">
        <v>314</v>
      </c>
      <c r="DX652">
        <v>1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21</v>
      </c>
      <c r="EH652">
        <v>0</v>
      </c>
      <c r="EI652" t="s">
        <v>3</v>
      </c>
      <c r="EJ652">
        <v>4</v>
      </c>
      <c r="EK652">
        <v>0</v>
      </c>
      <c r="EL652" t="s">
        <v>22</v>
      </c>
      <c r="EM652" t="s">
        <v>23</v>
      </c>
      <c r="EO652" t="s">
        <v>3</v>
      </c>
      <c r="EQ652">
        <v>0</v>
      </c>
      <c r="ER652">
        <v>944.81</v>
      </c>
      <c r="ES652">
        <v>0.74</v>
      </c>
      <c r="ET652">
        <v>1.79</v>
      </c>
      <c r="EU652">
        <v>0.02</v>
      </c>
      <c r="EV652">
        <v>942.28</v>
      </c>
      <c r="EW652">
        <v>1.42</v>
      </c>
      <c r="EX652">
        <v>0</v>
      </c>
      <c r="EY652">
        <v>0</v>
      </c>
      <c r="FQ652">
        <v>0</v>
      </c>
      <c r="FR652">
        <f t="shared" ref="FR652:FR663" si="521">ROUND(IF(BI652=3,GM652,0),2)</f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-1859605603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0.11</v>
      </c>
      <c r="GL652">
        <f t="shared" ref="GL652:GL663" si="522">ROUND(IF(AND(BH652=3,BI652=3,FS652&lt;&gt;0),P652,0),2)</f>
        <v>0</v>
      </c>
      <c r="GM652">
        <f t="shared" ref="GM652:GM663" si="523">ROUND(O652+X652+Y652+GK652,2)+GX652</f>
        <v>8493.2800000000007</v>
      </c>
      <c r="GN652">
        <f t="shared" ref="GN652:GN663" si="524">IF(OR(BI652=0,BI652=1),GM652-GX652,0)</f>
        <v>0</v>
      </c>
      <c r="GO652">
        <f t="shared" ref="GO652:GO663" si="525">IF(BI652=2,GM652-GX652,0)</f>
        <v>0</v>
      </c>
      <c r="GP652">
        <f t="shared" ref="GP652:GP663" si="526">IF(BI652=4,GM652-GX652,0)</f>
        <v>8493.2800000000007</v>
      </c>
      <c r="GR652">
        <v>0</v>
      </c>
      <c r="GS652">
        <v>3</v>
      </c>
      <c r="GT652">
        <v>0</v>
      </c>
      <c r="GU652" t="s">
        <v>3</v>
      </c>
      <c r="GV652">
        <f t="shared" ref="GV652:GV663" si="527">ROUND((GT652),6)</f>
        <v>0</v>
      </c>
      <c r="GW652">
        <v>1</v>
      </c>
      <c r="GX652">
        <f t="shared" ref="GX652:GX663" si="528">ROUND(HC652*I652,2)</f>
        <v>0</v>
      </c>
      <c r="HA652">
        <v>0</v>
      </c>
      <c r="HB652">
        <v>0</v>
      </c>
      <c r="HC652">
        <f t="shared" ref="HC652:HC663" si="529">GV652*GW652</f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ROW(EtalonRes!A383)</f>
        <v>383</v>
      </c>
      <c r="E653" t="s">
        <v>3</v>
      </c>
      <c r="F653" t="s">
        <v>316</v>
      </c>
      <c r="G653" t="s">
        <v>317</v>
      </c>
      <c r="H653" t="s">
        <v>314</v>
      </c>
      <c r="I653">
        <v>5</v>
      </c>
      <c r="J653">
        <v>0</v>
      </c>
      <c r="K653">
        <v>5</v>
      </c>
      <c r="O653">
        <f t="shared" si="497"/>
        <v>7768.5</v>
      </c>
      <c r="P653">
        <f t="shared" si="498"/>
        <v>4.6500000000000004</v>
      </c>
      <c r="Q653">
        <f t="shared" si="499"/>
        <v>0</v>
      </c>
      <c r="R653">
        <f t="shared" si="500"/>
        <v>0</v>
      </c>
      <c r="S653">
        <f t="shared" si="501"/>
        <v>7763.85</v>
      </c>
      <c r="T653">
        <f t="shared" si="502"/>
        <v>0</v>
      </c>
      <c r="U653">
        <f t="shared" si="503"/>
        <v>11.7</v>
      </c>
      <c r="V653">
        <f t="shared" si="504"/>
        <v>0</v>
      </c>
      <c r="W653">
        <f t="shared" si="505"/>
        <v>0</v>
      </c>
      <c r="X653">
        <f t="shared" si="506"/>
        <v>5434.7</v>
      </c>
      <c r="Y653">
        <f t="shared" si="507"/>
        <v>776.39</v>
      </c>
      <c r="AA653">
        <v>-1</v>
      </c>
      <c r="AB653">
        <f t="shared" si="508"/>
        <v>1553.7</v>
      </c>
      <c r="AC653">
        <f>ROUND(((ES653*3)),6)</f>
        <v>0.93</v>
      </c>
      <c r="AD653">
        <f>ROUND(((((ET653*3))-((EU653*3)))+AE653),6)</f>
        <v>0</v>
      </c>
      <c r="AE653">
        <f>ROUND(((EU653*3)),6)</f>
        <v>0</v>
      </c>
      <c r="AF653">
        <f>ROUND(((EV653*3)),6)</f>
        <v>1552.77</v>
      </c>
      <c r="AG653">
        <f t="shared" si="509"/>
        <v>0</v>
      </c>
      <c r="AH653">
        <f>((EW653*3))</f>
        <v>2.34</v>
      </c>
      <c r="AI653">
        <f>((EX653*3))</f>
        <v>0</v>
      </c>
      <c r="AJ653">
        <f t="shared" si="510"/>
        <v>0</v>
      </c>
      <c r="AK653">
        <v>517.9</v>
      </c>
      <c r="AL653">
        <v>0.31</v>
      </c>
      <c r="AM653">
        <v>0</v>
      </c>
      <c r="AN653">
        <v>0</v>
      </c>
      <c r="AO653">
        <v>517.59</v>
      </c>
      <c r="AP653">
        <v>0</v>
      </c>
      <c r="AQ653">
        <v>0.78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318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511"/>
        <v>7768.5</v>
      </c>
      <c r="CQ653">
        <f t="shared" si="512"/>
        <v>0.93</v>
      </c>
      <c r="CR653">
        <f>(((((ET653*3))*BB653-((EU653*3))*BS653)+AE653*BS653)*AV653)</f>
        <v>0</v>
      </c>
      <c r="CS653">
        <f t="shared" si="513"/>
        <v>0</v>
      </c>
      <c r="CT653">
        <f t="shared" si="514"/>
        <v>1552.77</v>
      </c>
      <c r="CU653">
        <f t="shared" si="515"/>
        <v>0</v>
      </c>
      <c r="CV653">
        <f t="shared" si="516"/>
        <v>2.34</v>
      </c>
      <c r="CW653">
        <f t="shared" si="517"/>
        <v>0</v>
      </c>
      <c r="CX653">
        <f t="shared" si="518"/>
        <v>0</v>
      </c>
      <c r="CY653">
        <f t="shared" si="519"/>
        <v>5434.6949999999997</v>
      </c>
      <c r="CZ653">
        <f t="shared" si="520"/>
        <v>776.38499999999999</v>
      </c>
      <c r="DC653" t="s">
        <v>3</v>
      </c>
      <c r="DD653" t="s">
        <v>156</v>
      </c>
      <c r="DE653" t="s">
        <v>156</v>
      </c>
      <c r="DF653" t="s">
        <v>156</v>
      </c>
      <c r="DG653" t="s">
        <v>156</v>
      </c>
      <c r="DH653" t="s">
        <v>3</v>
      </c>
      <c r="DI653" t="s">
        <v>156</v>
      </c>
      <c r="DJ653" t="s">
        <v>156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1013</v>
      </c>
      <c r="DV653" t="s">
        <v>314</v>
      </c>
      <c r="DW653" t="s">
        <v>314</v>
      </c>
      <c r="DX653">
        <v>1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21</v>
      </c>
      <c r="EH653">
        <v>0</v>
      </c>
      <c r="EI653" t="s">
        <v>3</v>
      </c>
      <c r="EJ653">
        <v>4</v>
      </c>
      <c r="EK653">
        <v>0</v>
      </c>
      <c r="EL653" t="s">
        <v>22</v>
      </c>
      <c r="EM653" t="s">
        <v>23</v>
      </c>
      <c r="EO653" t="s">
        <v>3</v>
      </c>
      <c r="EQ653">
        <v>1024</v>
      </c>
      <c r="ER653">
        <v>517.9</v>
      </c>
      <c r="ES653">
        <v>0.31</v>
      </c>
      <c r="ET653">
        <v>0</v>
      </c>
      <c r="EU653">
        <v>0</v>
      </c>
      <c r="EV653">
        <v>517.59</v>
      </c>
      <c r="EW653">
        <v>0.78</v>
      </c>
      <c r="EX653">
        <v>0</v>
      </c>
      <c r="EY653">
        <v>0</v>
      </c>
      <c r="FQ653">
        <v>0</v>
      </c>
      <c r="FR653">
        <f t="shared" si="521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1835675401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522"/>
        <v>0</v>
      </c>
      <c r="GM653">
        <f t="shared" si="523"/>
        <v>13979.59</v>
      </c>
      <c r="GN653">
        <f t="shared" si="524"/>
        <v>0</v>
      </c>
      <c r="GO653">
        <f t="shared" si="525"/>
        <v>0</v>
      </c>
      <c r="GP653">
        <f t="shared" si="526"/>
        <v>13979.59</v>
      </c>
      <c r="GR653">
        <v>0</v>
      </c>
      <c r="GS653">
        <v>3</v>
      </c>
      <c r="GT653">
        <v>0</v>
      </c>
      <c r="GU653" t="s">
        <v>3</v>
      </c>
      <c r="GV653">
        <f t="shared" si="527"/>
        <v>0</v>
      </c>
      <c r="GW653">
        <v>1</v>
      </c>
      <c r="GX653">
        <f t="shared" si="528"/>
        <v>0</v>
      </c>
      <c r="HA653">
        <v>0</v>
      </c>
      <c r="HB653">
        <v>0</v>
      </c>
      <c r="HC653">
        <f t="shared" si="529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ROW(EtalonRes!A386)</f>
        <v>386</v>
      </c>
      <c r="E654" t="s">
        <v>3</v>
      </c>
      <c r="F654" t="s">
        <v>319</v>
      </c>
      <c r="G654" t="s">
        <v>320</v>
      </c>
      <c r="H654" t="s">
        <v>314</v>
      </c>
      <c r="I654">
        <v>5</v>
      </c>
      <c r="J654">
        <v>0</v>
      </c>
      <c r="K654">
        <v>5</v>
      </c>
      <c r="O654">
        <f t="shared" si="497"/>
        <v>18580.2</v>
      </c>
      <c r="P654">
        <f t="shared" si="498"/>
        <v>14.1</v>
      </c>
      <c r="Q654">
        <f t="shared" si="499"/>
        <v>52.35</v>
      </c>
      <c r="R654">
        <f t="shared" si="500"/>
        <v>0.75</v>
      </c>
      <c r="S654">
        <f t="shared" si="501"/>
        <v>18513.75</v>
      </c>
      <c r="T654">
        <f t="shared" si="502"/>
        <v>0</v>
      </c>
      <c r="U654">
        <f t="shared" si="503"/>
        <v>27.9</v>
      </c>
      <c r="V654">
        <f t="shared" si="504"/>
        <v>0</v>
      </c>
      <c r="W654">
        <f t="shared" si="505"/>
        <v>0</v>
      </c>
      <c r="X654">
        <f t="shared" si="506"/>
        <v>12959.63</v>
      </c>
      <c r="Y654">
        <f t="shared" si="507"/>
        <v>1851.38</v>
      </c>
      <c r="AA654">
        <v>-1</v>
      </c>
      <c r="AB654">
        <f t="shared" si="508"/>
        <v>3716.04</v>
      </c>
      <c r="AC654">
        <f>ROUND(((ES654*3)),6)</f>
        <v>2.82</v>
      </c>
      <c r="AD654">
        <f>ROUND(((((ET654*3))-((EU654*3)))+AE654),6)</f>
        <v>10.47</v>
      </c>
      <c r="AE654">
        <f>ROUND(((EU654*3)),6)</f>
        <v>0.15</v>
      </c>
      <c r="AF654">
        <f>ROUND(((EV654*3)),6)</f>
        <v>3702.75</v>
      </c>
      <c r="AG654">
        <f t="shared" si="509"/>
        <v>0</v>
      </c>
      <c r="AH654">
        <f>((EW654*3))</f>
        <v>5.58</v>
      </c>
      <c r="AI654">
        <f>((EX654*3))</f>
        <v>0</v>
      </c>
      <c r="AJ654">
        <f t="shared" si="510"/>
        <v>0</v>
      </c>
      <c r="AK654">
        <v>1238.68</v>
      </c>
      <c r="AL654">
        <v>0.94</v>
      </c>
      <c r="AM654">
        <v>3.49</v>
      </c>
      <c r="AN654">
        <v>0.05</v>
      </c>
      <c r="AO654">
        <v>1234.25</v>
      </c>
      <c r="AP654">
        <v>0</v>
      </c>
      <c r="AQ654">
        <v>1.86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321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511"/>
        <v>18580.2</v>
      </c>
      <c r="CQ654">
        <f t="shared" si="512"/>
        <v>2.82</v>
      </c>
      <c r="CR654">
        <f>(((((ET654*3))*BB654-((EU654*3))*BS654)+AE654*BS654)*AV654)</f>
        <v>10.47</v>
      </c>
      <c r="CS654">
        <f t="shared" si="513"/>
        <v>0.15</v>
      </c>
      <c r="CT654">
        <f t="shared" si="514"/>
        <v>3702.75</v>
      </c>
      <c r="CU654">
        <f t="shared" si="515"/>
        <v>0</v>
      </c>
      <c r="CV654">
        <f t="shared" si="516"/>
        <v>5.58</v>
      </c>
      <c r="CW654">
        <f t="shared" si="517"/>
        <v>0</v>
      </c>
      <c r="CX654">
        <f t="shared" si="518"/>
        <v>0</v>
      </c>
      <c r="CY654">
        <f t="shared" si="519"/>
        <v>12959.625</v>
      </c>
      <c r="CZ654">
        <f t="shared" si="520"/>
        <v>1851.375</v>
      </c>
      <c r="DC654" t="s">
        <v>3</v>
      </c>
      <c r="DD654" t="s">
        <v>156</v>
      </c>
      <c r="DE654" t="s">
        <v>156</v>
      </c>
      <c r="DF654" t="s">
        <v>156</v>
      </c>
      <c r="DG654" t="s">
        <v>156</v>
      </c>
      <c r="DH654" t="s">
        <v>3</v>
      </c>
      <c r="DI654" t="s">
        <v>156</v>
      </c>
      <c r="DJ654" t="s">
        <v>156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1013</v>
      </c>
      <c r="DV654" t="s">
        <v>314</v>
      </c>
      <c r="DW654" t="s">
        <v>314</v>
      </c>
      <c r="DX654">
        <v>1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21</v>
      </c>
      <c r="EH654">
        <v>0</v>
      </c>
      <c r="EI654" t="s">
        <v>3</v>
      </c>
      <c r="EJ654">
        <v>4</v>
      </c>
      <c r="EK654">
        <v>0</v>
      </c>
      <c r="EL654" t="s">
        <v>22</v>
      </c>
      <c r="EM654" t="s">
        <v>23</v>
      </c>
      <c r="EO654" t="s">
        <v>3</v>
      </c>
      <c r="EQ654">
        <v>1024</v>
      </c>
      <c r="ER654">
        <v>1238.68</v>
      </c>
      <c r="ES654">
        <v>0.94</v>
      </c>
      <c r="ET654">
        <v>3.49</v>
      </c>
      <c r="EU654">
        <v>0.05</v>
      </c>
      <c r="EV654">
        <v>1234.25</v>
      </c>
      <c r="EW654">
        <v>1.86</v>
      </c>
      <c r="EX654">
        <v>0</v>
      </c>
      <c r="EY654">
        <v>0</v>
      </c>
      <c r="FQ654">
        <v>0</v>
      </c>
      <c r="FR654">
        <f t="shared" si="521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1840343037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0.81</v>
      </c>
      <c r="GL654">
        <f t="shared" si="522"/>
        <v>0</v>
      </c>
      <c r="GM654">
        <f t="shared" si="523"/>
        <v>33392.019999999997</v>
      </c>
      <c r="GN654">
        <f t="shared" si="524"/>
        <v>0</v>
      </c>
      <c r="GO654">
        <f t="shared" si="525"/>
        <v>0</v>
      </c>
      <c r="GP654">
        <f t="shared" si="526"/>
        <v>33392.019999999997</v>
      </c>
      <c r="GR654">
        <v>0</v>
      </c>
      <c r="GS654">
        <v>3</v>
      </c>
      <c r="GT654">
        <v>0</v>
      </c>
      <c r="GU654" t="s">
        <v>3</v>
      </c>
      <c r="GV654">
        <f t="shared" si="527"/>
        <v>0</v>
      </c>
      <c r="GW654">
        <v>1</v>
      </c>
      <c r="GX654">
        <f t="shared" si="528"/>
        <v>0</v>
      </c>
      <c r="HA654">
        <v>0</v>
      </c>
      <c r="HB654">
        <v>0</v>
      </c>
      <c r="HC654">
        <f t="shared" si="529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ROW(EtalonRes!A389)</f>
        <v>389</v>
      </c>
      <c r="E655" t="s">
        <v>322</v>
      </c>
      <c r="F655" t="s">
        <v>323</v>
      </c>
      <c r="G655" t="s">
        <v>324</v>
      </c>
      <c r="H655" t="s">
        <v>314</v>
      </c>
      <c r="I655">
        <v>5</v>
      </c>
      <c r="J655">
        <v>0</v>
      </c>
      <c r="K655">
        <v>5</v>
      </c>
      <c r="O655">
        <f t="shared" si="497"/>
        <v>8250.5</v>
      </c>
      <c r="P655">
        <f t="shared" si="498"/>
        <v>4.7</v>
      </c>
      <c r="Q655">
        <f t="shared" si="499"/>
        <v>17.45</v>
      </c>
      <c r="R655">
        <f t="shared" si="500"/>
        <v>0.25</v>
      </c>
      <c r="S655">
        <f t="shared" si="501"/>
        <v>8228.35</v>
      </c>
      <c r="T655">
        <f t="shared" si="502"/>
        <v>0</v>
      </c>
      <c r="U655">
        <f t="shared" si="503"/>
        <v>12.4</v>
      </c>
      <c r="V655">
        <f t="shared" si="504"/>
        <v>0</v>
      </c>
      <c r="W655">
        <f t="shared" si="505"/>
        <v>0</v>
      </c>
      <c r="X655">
        <f t="shared" si="506"/>
        <v>5759.85</v>
      </c>
      <c r="Y655">
        <f t="shared" si="507"/>
        <v>822.84</v>
      </c>
      <c r="AA655">
        <v>1471531721</v>
      </c>
      <c r="AB655">
        <f t="shared" si="508"/>
        <v>1650.1</v>
      </c>
      <c r="AC655">
        <f>ROUND((ES655),6)</f>
        <v>0.94</v>
      </c>
      <c r="AD655">
        <f>ROUND((((ET655)-(EU655))+AE655),6)</f>
        <v>3.49</v>
      </c>
      <c r="AE655">
        <f>ROUND((EU655),6)</f>
        <v>0.05</v>
      </c>
      <c r="AF655">
        <f>ROUND((EV655),6)</f>
        <v>1645.67</v>
      </c>
      <c r="AG655">
        <f t="shared" si="509"/>
        <v>0</v>
      </c>
      <c r="AH655">
        <f>(EW655)</f>
        <v>2.48</v>
      </c>
      <c r="AI655">
        <f>(EX655)</f>
        <v>0</v>
      </c>
      <c r="AJ655">
        <f t="shared" si="510"/>
        <v>0</v>
      </c>
      <c r="AK655">
        <v>1650.1</v>
      </c>
      <c r="AL655">
        <v>0.94</v>
      </c>
      <c r="AM655">
        <v>3.49</v>
      </c>
      <c r="AN655">
        <v>0.05</v>
      </c>
      <c r="AO655">
        <v>1645.67</v>
      </c>
      <c r="AP655">
        <v>0</v>
      </c>
      <c r="AQ655">
        <v>2.48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325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511"/>
        <v>8250.5</v>
      </c>
      <c r="CQ655">
        <f t="shared" si="512"/>
        <v>0.94</v>
      </c>
      <c r="CR655">
        <f>((((ET655)*BB655-(EU655)*BS655)+AE655*BS655)*AV655)</f>
        <v>3.49</v>
      </c>
      <c r="CS655">
        <f t="shared" si="513"/>
        <v>0.05</v>
      </c>
      <c r="CT655">
        <f t="shared" si="514"/>
        <v>1645.67</v>
      </c>
      <c r="CU655">
        <f t="shared" si="515"/>
        <v>0</v>
      </c>
      <c r="CV655">
        <f t="shared" si="516"/>
        <v>2.48</v>
      </c>
      <c r="CW655">
        <f t="shared" si="517"/>
        <v>0</v>
      </c>
      <c r="CX655">
        <f t="shared" si="518"/>
        <v>0</v>
      </c>
      <c r="CY655">
        <f t="shared" si="519"/>
        <v>5759.8450000000003</v>
      </c>
      <c r="CZ655">
        <f t="shared" si="520"/>
        <v>822.83500000000004</v>
      </c>
      <c r="DC655" t="s">
        <v>3</v>
      </c>
      <c r="DD655" t="s">
        <v>3</v>
      </c>
      <c r="DE655" t="s">
        <v>3</v>
      </c>
      <c r="DF655" t="s">
        <v>3</v>
      </c>
      <c r="DG655" t="s">
        <v>3</v>
      </c>
      <c r="DH655" t="s">
        <v>3</v>
      </c>
      <c r="DI655" t="s">
        <v>3</v>
      </c>
      <c r="DJ655" t="s">
        <v>3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1013</v>
      </c>
      <c r="DV655" t="s">
        <v>314</v>
      </c>
      <c r="DW655" t="s">
        <v>314</v>
      </c>
      <c r="DX655">
        <v>1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21</v>
      </c>
      <c r="EH655">
        <v>0</v>
      </c>
      <c r="EI655" t="s">
        <v>3</v>
      </c>
      <c r="EJ655">
        <v>4</v>
      </c>
      <c r="EK655">
        <v>0</v>
      </c>
      <c r="EL655" t="s">
        <v>22</v>
      </c>
      <c r="EM655" t="s">
        <v>23</v>
      </c>
      <c r="EO655" t="s">
        <v>3</v>
      </c>
      <c r="EQ655">
        <v>0</v>
      </c>
      <c r="ER655">
        <v>1650.1</v>
      </c>
      <c r="ES655">
        <v>0.94</v>
      </c>
      <c r="ET655">
        <v>3.49</v>
      </c>
      <c r="EU655">
        <v>0.05</v>
      </c>
      <c r="EV655">
        <v>1645.67</v>
      </c>
      <c r="EW655">
        <v>2.48</v>
      </c>
      <c r="EX655">
        <v>0</v>
      </c>
      <c r="EY655">
        <v>0</v>
      </c>
      <c r="FQ655">
        <v>0</v>
      </c>
      <c r="FR655">
        <f t="shared" si="521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-837754666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0.27</v>
      </c>
      <c r="GL655">
        <f t="shared" si="522"/>
        <v>0</v>
      </c>
      <c r="GM655">
        <f t="shared" si="523"/>
        <v>14833.46</v>
      </c>
      <c r="GN655">
        <f t="shared" si="524"/>
        <v>0</v>
      </c>
      <c r="GO655">
        <f t="shared" si="525"/>
        <v>0</v>
      </c>
      <c r="GP655">
        <f t="shared" si="526"/>
        <v>14833.46</v>
      </c>
      <c r="GR655">
        <v>0</v>
      </c>
      <c r="GS655">
        <v>3</v>
      </c>
      <c r="GT655">
        <v>0</v>
      </c>
      <c r="GU655" t="s">
        <v>3</v>
      </c>
      <c r="GV655">
        <f t="shared" si="527"/>
        <v>0</v>
      </c>
      <c r="GW655">
        <v>1</v>
      </c>
      <c r="GX655">
        <f t="shared" si="528"/>
        <v>0</v>
      </c>
      <c r="HA655">
        <v>0</v>
      </c>
      <c r="HB655">
        <v>0</v>
      </c>
      <c r="HC655">
        <f t="shared" si="529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6" spans="1:245" x14ac:dyDescent="0.2">
      <c r="A656">
        <v>17</v>
      </c>
      <c r="B656">
        <v>1</v>
      </c>
      <c r="D656">
        <f>ROW(EtalonRes!A393)</f>
        <v>393</v>
      </c>
      <c r="E656" t="s">
        <v>3</v>
      </c>
      <c r="F656" t="s">
        <v>326</v>
      </c>
      <c r="G656" t="s">
        <v>327</v>
      </c>
      <c r="H656" t="s">
        <v>314</v>
      </c>
      <c r="I656">
        <v>5</v>
      </c>
      <c r="J656">
        <v>0</v>
      </c>
      <c r="K656">
        <v>5</v>
      </c>
      <c r="O656">
        <f t="shared" si="497"/>
        <v>8932.6</v>
      </c>
      <c r="P656">
        <f t="shared" si="498"/>
        <v>22.2</v>
      </c>
      <c r="Q656">
        <f t="shared" si="499"/>
        <v>18.5</v>
      </c>
      <c r="R656">
        <f t="shared" si="500"/>
        <v>0.3</v>
      </c>
      <c r="S656">
        <f t="shared" si="501"/>
        <v>8891.9</v>
      </c>
      <c r="T656">
        <f t="shared" si="502"/>
        <v>0</v>
      </c>
      <c r="U656">
        <f t="shared" si="503"/>
        <v>13.4</v>
      </c>
      <c r="V656">
        <f t="shared" si="504"/>
        <v>0</v>
      </c>
      <c r="W656">
        <f t="shared" si="505"/>
        <v>0</v>
      </c>
      <c r="X656">
        <f t="shared" si="506"/>
        <v>6224.33</v>
      </c>
      <c r="Y656">
        <f t="shared" si="507"/>
        <v>889.19</v>
      </c>
      <c r="AA656">
        <v>-1</v>
      </c>
      <c r="AB656">
        <f t="shared" si="508"/>
        <v>1786.52</v>
      </c>
      <c r="AC656">
        <f>ROUND(((ES656*2)),6)</f>
        <v>4.4400000000000004</v>
      </c>
      <c r="AD656">
        <f>ROUND(((((ET656*2))-((EU656*2)))+AE656),6)</f>
        <v>3.7</v>
      </c>
      <c r="AE656">
        <f>ROUND(((EU656*2)),6)</f>
        <v>0.06</v>
      </c>
      <c r="AF656">
        <f>ROUND(((EV656*2)),6)</f>
        <v>1778.38</v>
      </c>
      <c r="AG656">
        <f t="shared" si="509"/>
        <v>0</v>
      </c>
      <c r="AH656">
        <f>((EW656*2))</f>
        <v>2.68</v>
      </c>
      <c r="AI656">
        <f>((EX656*2))</f>
        <v>0</v>
      </c>
      <c r="AJ656">
        <f t="shared" si="510"/>
        <v>0</v>
      </c>
      <c r="AK656">
        <v>893.26</v>
      </c>
      <c r="AL656">
        <v>2.2200000000000002</v>
      </c>
      <c r="AM656">
        <v>1.85</v>
      </c>
      <c r="AN656">
        <v>0.03</v>
      </c>
      <c r="AO656">
        <v>889.19</v>
      </c>
      <c r="AP656">
        <v>0</v>
      </c>
      <c r="AQ656">
        <v>1.34</v>
      </c>
      <c r="AR656">
        <v>0</v>
      </c>
      <c r="AS656">
        <v>0</v>
      </c>
      <c r="AT656">
        <v>70</v>
      </c>
      <c r="AU656">
        <v>10</v>
      </c>
      <c r="AV656">
        <v>1</v>
      </c>
      <c r="AW656">
        <v>1</v>
      </c>
      <c r="AZ656">
        <v>1</v>
      </c>
      <c r="BA656">
        <v>1</v>
      </c>
      <c r="BB656">
        <v>1</v>
      </c>
      <c r="BC656">
        <v>1</v>
      </c>
      <c r="BD656" t="s">
        <v>3</v>
      </c>
      <c r="BE656" t="s">
        <v>3</v>
      </c>
      <c r="BF656" t="s">
        <v>3</v>
      </c>
      <c r="BG656" t="s">
        <v>3</v>
      </c>
      <c r="BH656">
        <v>0</v>
      </c>
      <c r="BI656">
        <v>4</v>
      </c>
      <c r="BJ656" t="s">
        <v>328</v>
      </c>
      <c r="BM656">
        <v>0</v>
      </c>
      <c r="BN656">
        <v>0</v>
      </c>
      <c r="BO656" t="s">
        <v>3</v>
      </c>
      <c r="BP656">
        <v>0</v>
      </c>
      <c r="BQ656">
        <v>1</v>
      </c>
      <c r="BR656">
        <v>0</v>
      </c>
      <c r="BS656">
        <v>1</v>
      </c>
      <c r="BT656">
        <v>1</v>
      </c>
      <c r="BU656">
        <v>1</v>
      </c>
      <c r="BV656">
        <v>1</v>
      </c>
      <c r="BW656">
        <v>1</v>
      </c>
      <c r="BX656">
        <v>1</v>
      </c>
      <c r="BY656" t="s">
        <v>3</v>
      </c>
      <c r="BZ656">
        <v>70</v>
      </c>
      <c r="CA656">
        <v>10</v>
      </c>
      <c r="CB656" t="s">
        <v>3</v>
      </c>
      <c r="CE656">
        <v>0</v>
      </c>
      <c r="CF656">
        <v>0</v>
      </c>
      <c r="CG656">
        <v>0</v>
      </c>
      <c r="CM656">
        <v>0</v>
      </c>
      <c r="CN656" t="s">
        <v>3</v>
      </c>
      <c r="CO656">
        <v>0</v>
      </c>
      <c r="CP656">
        <f t="shared" si="511"/>
        <v>8932.6</v>
      </c>
      <c r="CQ656">
        <f t="shared" si="512"/>
        <v>4.4400000000000004</v>
      </c>
      <c r="CR656">
        <f>(((((ET656*2))*BB656-((EU656*2))*BS656)+AE656*BS656)*AV656)</f>
        <v>3.7</v>
      </c>
      <c r="CS656">
        <f t="shared" si="513"/>
        <v>0.06</v>
      </c>
      <c r="CT656">
        <f t="shared" si="514"/>
        <v>1778.38</v>
      </c>
      <c r="CU656">
        <f t="shared" si="515"/>
        <v>0</v>
      </c>
      <c r="CV656">
        <f t="shared" si="516"/>
        <v>2.68</v>
      </c>
      <c r="CW656">
        <f t="shared" si="517"/>
        <v>0</v>
      </c>
      <c r="CX656">
        <f t="shared" si="518"/>
        <v>0</v>
      </c>
      <c r="CY656">
        <f t="shared" si="519"/>
        <v>6224.33</v>
      </c>
      <c r="CZ656">
        <f t="shared" si="520"/>
        <v>889.19</v>
      </c>
      <c r="DC656" t="s">
        <v>3</v>
      </c>
      <c r="DD656" t="s">
        <v>253</v>
      </c>
      <c r="DE656" t="s">
        <v>253</v>
      </c>
      <c r="DF656" t="s">
        <v>253</v>
      </c>
      <c r="DG656" t="s">
        <v>253</v>
      </c>
      <c r="DH656" t="s">
        <v>3</v>
      </c>
      <c r="DI656" t="s">
        <v>253</v>
      </c>
      <c r="DJ656" t="s">
        <v>253</v>
      </c>
      <c r="DK656" t="s">
        <v>3</v>
      </c>
      <c r="DL656" t="s">
        <v>3</v>
      </c>
      <c r="DM656" t="s">
        <v>3</v>
      </c>
      <c r="DN656">
        <v>0</v>
      </c>
      <c r="DO656">
        <v>0</v>
      </c>
      <c r="DP656">
        <v>1</v>
      </c>
      <c r="DQ656">
        <v>1</v>
      </c>
      <c r="DU656">
        <v>1013</v>
      </c>
      <c r="DV656" t="s">
        <v>314</v>
      </c>
      <c r="DW656" t="s">
        <v>314</v>
      </c>
      <c r="DX656">
        <v>1</v>
      </c>
      <c r="DZ656" t="s">
        <v>3</v>
      </c>
      <c r="EA656" t="s">
        <v>3</v>
      </c>
      <c r="EB656" t="s">
        <v>3</v>
      </c>
      <c r="EC656" t="s">
        <v>3</v>
      </c>
      <c r="EE656">
        <v>1441815344</v>
      </c>
      <c r="EF656">
        <v>1</v>
      </c>
      <c r="EG656" t="s">
        <v>21</v>
      </c>
      <c r="EH656">
        <v>0</v>
      </c>
      <c r="EI656" t="s">
        <v>3</v>
      </c>
      <c r="EJ656">
        <v>4</v>
      </c>
      <c r="EK656">
        <v>0</v>
      </c>
      <c r="EL656" t="s">
        <v>22</v>
      </c>
      <c r="EM656" t="s">
        <v>23</v>
      </c>
      <c r="EO656" t="s">
        <v>3</v>
      </c>
      <c r="EQ656">
        <v>1024</v>
      </c>
      <c r="ER656">
        <v>893.26</v>
      </c>
      <c r="ES656">
        <v>2.2200000000000002</v>
      </c>
      <c r="ET656">
        <v>1.85</v>
      </c>
      <c r="EU656">
        <v>0.03</v>
      </c>
      <c r="EV656">
        <v>889.19</v>
      </c>
      <c r="EW656">
        <v>1.34</v>
      </c>
      <c r="EX656">
        <v>0</v>
      </c>
      <c r="EY656">
        <v>0</v>
      </c>
      <c r="FQ656">
        <v>0</v>
      </c>
      <c r="FR656">
        <f t="shared" si="521"/>
        <v>0</v>
      </c>
      <c r="FS656">
        <v>0</v>
      </c>
      <c r="FX656">
        <v>70</v>
      </c>
      <c r="FY656">
        <v>10</v>
      </c>
      <c r="GA656" t="s">
        <v>3</v>
      </c>
      <c r="GD656">
        <v>0</v>
      </c>
      <c r="GF656">
        <v>211604864</v>
      </c>
      <c r="GG656">
        <v>2</v>
      </c>
      <c r="GH656">
        <v>1</v>
      </c>
      <c r="GI656">
        <v>-2</v>
      </c>
      <c r="GJ656">
        <v>0</v>
      </c>
      <c r="GK656">
        <f>ROUND(R656*(R12)/100,2)</f>
        <v>0.32</v>
      </c>
      <c r="GL656">
        <f t="shared" si="522"/>
        <v>0</v>
      </c>
      <c r="GM656">
        <f t="shared" si="523"/>
        <v>16046.44</v>
      </c>
      <c r="GN656">
        <f t="shared" si="524"/>
        <v>0</v>
      </c>
      <c r="GO656">
        <f t="shared" si="525"/>
        <v>0</v>
      </c>
      <c r="GP656">
        <f t="shared" si="526"/>
        <v>16046.44</v>
      </c>
      <c r="GR656">
        <v>0</v>
      </c>
      <c r="GS656">
        <v>3</v>
      </c>
      <c r="GT656">
        <v>0</v>
      </c>
      <c r="GU656" t="s">
        <v>3</v>
      </c>
      <c r="GV656">
        <f t="shared" si="527"/>
        <v>0</v>
      </c>
      <c r="GW656">
        <v>1</v>
      </c>
      <c r="GX656">
        <f t="shared" si="528"/>
        <v>0</v>
      </c>
      <c r="HA656">
        <v>0</v>
      </c>
      <c r="HB656">
        <v>0</v>
      </c>
      <c r="HC656">
        <f t="shared" si="529"/>
        <v>0</v>
      </c>
      <c r="HE656" t="s">
        <v>3</v>
      </c>
      <c r="HF656" t="s">
        <v>3</v>
      </c>
      <c r="HM656" t="s">
        <v>3</v>
      </c>
      <c r="HN656" t="s">
        <v>3</v>
      </c>
      <c r="HO656" t="s">
        <v>3</v>
      </c>
      <c r="HP656" t="s">
        <v>3</v>
      </c>
      <c r="HQ656" t="s">
        <v>3</v>
      </c>
      <c r="IK656">
        <v>0</v>
      </c>
    </row>
    <row r="657" spans="1:245" x14ac:dyDescent="0.2">
      <c r="A657">
        <v>17</v>
      </c>
      <c r="B657">
        <v>1</v>
      </c>
      <c r="D657">
        <f>ROW(EtalonRes!A395)</f>
        <v>395</v>
      </c>
      <c r="E657" t="s">
        <v>3</v>
      </c>
      <c r="F657" t="s">
        <v>329</v>
      </c>
      <c r="G657" t="s">
        <v>330</v>
      </c>
      <c r="H657" t="s">
        <v>314</v>
      </c>
      <c r="I657">
        <v>5</v>
      </c>
      <c r="J657">
        <v>0</v>
      </c>
      <c r="K657">
        <v>5</v>
      </c>
      <c r="O657">
        <f t="shared" si="497"/>
        <v>14740.5</v>
      </c>
      <c r="P657">
        <f t="shared" si="498"/>
        <v>9.3000000000000007</v>
      </c>
      <c r="Q657">
        <f t="shared" si="499"/>
        <v>0</v>
      </c>
      <c r="R657">
        <f t="shared" si="500"/>
        <v>0</v>
      </c>
      <c r="S657">
        <f t="shared" si="501"/>
        <v>14731.2</v>
      </c>
      <c r="T657">
        <f t="shared" si="502"/>
        <v>0</v>
      </c>
      <c r="U657">
        <f t="shared" si="503"/>
        <v>22.199999999999996</v>
      </c>
      <c r="V657">
        <f t="shared" si="504"/>
        <v>0</v>
      </c>
      <c r="W657">
        <f t="shared" si="505"/>
        <v>0</v>
      </c>
      <c r="X657">
        <f t="shared" si="506"/>
        <v>10311.84</v>
      </c>
      <c r="Y657">
        <f t="shared" si="507"/>
        <v>1473.12</v>
      </c>
      <c r="AA657">
        <v>-1</v>
      </c>
      <c r="AB657">
        <f t="shared" si="508"/>
        <v>2948.1</v>
      </c>
      <c r="AC657">
        <f>ROUND(((ES657*6)),6)</f>
        <v>1.86</v>
      </c>
      <c r="AD657">
        <f>ROUND(((((ET657*6))-((EU657*6)))+AE657),6)</f>
        <v>0</v>
      </c>
      <c r="AE657">
        <f>ROUND(((EU657*6)),6)</f>
        <v>0</v>
      </c>
      <c r="AF657">
        <f>ROUND(((EV657*6)),6)</f>
        <v>2946.24</v>
      </c>
      <c r="AG657">
        <f t="shared" si="509"/>
        <v>0</v>
      </c>
      <c r="AH657">
        <f>((EW657*6))</f>
        <v>4.4399999999999995</v>
      </c>
      <c r="AI657">
        <f>((EX657*6))</f>
        <v>0</v>
      </c>
      <c r="AJ657">
        <f t="shared" si="510"/>
        <v>0</v>
      </c>
      <c r="AK657">
        <v>491.35</v>
      </c>
      <c r="AL657">
        <v>0.31</v>
      </c>
      <c r="AM657">
        <v>0</v>
      </c>
      <c r="AN657">
        <v>0</v>
      </c>
      <c r="AO657">
        <v>491.04</v>
      </c>
      <c r="AP657">
        <v>0</v>
      </c>
      <c r="AQ657">
        <v>0.74</v>
      </c>
      <c r="AR657">
        <v>0</v>
      </c>
      <c r="AS657">
        <v>0</v>
      </c>
      <c r="AT657">
        <v>70</v>
      </c>
      <c r="AU657">
        <v>10</v>
      </c>
      <c r="AV657">
        <v>1</v>
      </c>
      <c r="AW657">
        <v>1</v>
      </c>
      <c r="AZ657">
        <v>1</v>
      </c>
      <c r="BA657">
        <v>1</v>
      </c>
      <c r="BB657">
        <v>1</v>
      </c>
      <c r="BC657">
        <v>1</v>
      </c>
      <c r="BD657" t="s">
        <v>3</v>
      </c>
      <c r="BE657" t="s">
        <v>3</v>
      </c>
      <c r="BF657" t="s">
        <v>3</v>
      </c>
      <c r="BG657" t="s">
        <v>3</v>
      </c>
      <c r="BH657">
        <v>0</v>
      </c>
      <c r="BI657">
        <v>4</v>
      </c>
      <c r="BJ657" t="s">
        <v>331</v>
      </c>
      <c r="BM657">
        <v>0</v>
      </c>
      <c r="BN657">
        <v>0</v>
      </c>
      <c r="BO657" t="s">
        <v>3</v>
      </c>
      <c r="BP657">
        <v>0</v>
      </c>
      <c r="BQ657">
        <v>1</v>
      </c>
      <c r="BR657">
        <v>0</v>
      </c>
      <c r="BS657">
        <v>1</v>
      </c>
      <c r="BT657">
        <v>1</v>
      </c>
      <c r="BU657">
        <v>1</v>
      </c>
      <c r="BV657">
        <v>1</v>
      </c>
      <c r="BW657">
        <v>1</v>
      </c>
      <c r="BX657">
        <v>1</v>
      </c>
      <c r="BY657" t="s">
        <v>3</v>
      </c>
      <c r="BZ657">
        <v>70</v>
      </c>
      <c r="CA657">
        <v>10</v>
      </c>
      <c r="CB657" t="s">
        <v>3</v>
      </c>
      <c r="CE657">
        <v>0</v>
      </c>
      <c r="CF657">
        <v>0</v>
      </c>
      <c r="CG657">
        <v>0</v>
      </c>
      <c r="CM657">
        <v>0</v>
      </c>
      <c r="CN657" t="s">
        <v>3</v>
      </c>
      <c r="CO657">
        <v>0</v>
      </c>
      <c r="CP657">
        <f t="shared" si="511"/>
        <v>14740.5</v>
      </c>
      <c r="CQ657">
        <f t="shared" si="512"/>
        <v>1.86</v>
      </c>
      <c r="CR657">
        <f>(((((ET657*6))*BB657-((EU657*6))*BS657)+AE657*BS657)*AV657)</f>
        <v>0</v>
      </c>
      <c r="CS657">
        <f t="shared" si="513"/>
        <v>0</v>
      </c>
      <c r="CT657">
        <f t="shared" si="514"/>
        <v>2946.24</v>
      </c>
      <c r="CU657">
        <f t="shared" si="515"/>
        <v>0</v>
      </c>
      <c r="CV657">
        <f t="shared" si="516"/>
        <v>4.4399999999999995</v>
      </c>
      <c r="CW657">
        <f t="shared" si="517"/>
        <v>0</v>
      </c>
      <c r="CX657">
        <f t="shared" si="518"/>
        <v>0</v>
      </c>
      <c r="CY657">
        <f t="shared" si="519"/>
        <v>10311.84</v>
      </c>
      <c r="CZ657">
        <f t="shared" si="520"/>
        <v>1473.12</v>
      </c>
      <c r="DC657" t="s">
        <v>3</v>
      </c>
      <c r="DD657" t="s">
        <v>332</v>
      </c>
      <c r="DE657" t="s">
        <v>332</v>
      </c>
      <c r="DF657" t="s">
        <v>332</v>
      </c>
      <c r="DG657" t="s">
        <v>332</v>
      </c>
      <c r="DH657" t="s">
        <v>3</v>
      </c>
      <c r="DI657" t="s">
        <v>332</v>
      </c>
      <c r="DJ657" t="s">
        <v>332</v>
      </c>
      <c r="DK657" t="s">
        <v>3</v>
      </c>
      <c r="DL657" t="s">
        <v>3</v>
      </c>
      <c r="DM657" t="s">
        <v>3</v>
      </c>
      <c r="DN657">
        <v>0</v>
      </c>
      <c r="DO657">
        <v>0</v>
      </c>
      <c r="DP657">
        <v>1</v>
      </c>
      <c r="DQ657">
        <v>1</v>
      </c>
      <c r="DU657">
        <v>1013</v>
      </c>
      <c r="DV657" t="s">
        <v>314</v>
      </c>
      <c r="DW657" t="s">
        <v>314</v>
      </c>
      <c r="DX657">
        <v>1</v>
      </c>
      <c r="DZ657" t="s">
        <v>3</v>
      </c>
      <c r="EA657" t="s">
        <v>3</v>
      </c>
      <c r="EB657" t="s">
        <v>3</v>
      </c>
      <c r="EC657" t="s">
        <v>3</v>
      </c>
      <c r="EE657">
        <v>1441815344</v>
      </c>
      <c r="EF657">
        <v>1</v>
      </c>
      <c r="EG657" t="s">
        <v>21</v>
      </c>
      <c r="EH657">
        <v>0</v>
      </c>
      <c r="EI657" t="s">
        <v>3</v>
      </c>
      <c r="EJ657">
        <v>4</v>
      </c>
      <c r="EK657">
        <v>0</v>
      </c>
      <c r="EL657" t="s">
        <v>22</v>
      </c>
      <c r="EM657" t="s">
        <v>23</v>
      </c>
      <c r="EO657" t="s">
        <v>3</v>
      </c>
      <c r="EQ657">
        <v>1024</v>
      </c>
      <c r="ER657">
        <v>491.35</v>
      </c>
      <c r="ES657">
        <v>0.31</v>
      </c>
      <c r="ET657">
        <v>0</v>
      </c>
      <c r="EU657">
        <v>0</v>
      </c>
      <c r="EV657">
        <v>491.04</v>
      </c>
      <c r="EW657">
        <v>0.74</v>
      </c>
      <c r="EX657">
        <v>0</v>
      </c>
      <c r="EY657">
        <v>0</v>
      </c>
      <c r="FQ657">
        <v>0</v>
      </c>
      <c r="FR657">
        <f t="shared" si="521"/>
        <v>0</v>
      </c>
      <c r="FS657">
        <v>0</v>
      </c>
      <c r="FX657">
        <v>70</v>
      </c>
      <c r="FY657">
        <v>10</v>
      </c>
      <c r="GA657" t="s">
        <v>3</v>
      </c>
      <c r="GD657">
        <v>0</v>
      </c>
      <c r="GF657">
        <v>1972185064</v>
      </c>
      <c r="GG657">
        <v>2</v>
      </c>
      <c r="GH657">
        <v>1</v>
      </c>
      <c r="GI657">
        <v>-2</v>
      </c>
      <c r="GJ657">
        <v>0</v>
      </c>
      <c r="GK657">
        <f>ROUND(R657*(R12)/100,2)</f>
        <v>0</v>
      </c>
      <c r="GL657">
        <f t="shared" si="522"/>
        <v>0</v>
      </c>
      <c r="GM657">
        <f t="shared" si="523"/>
        <v>26525.46</v>
      </c>
      <c r="GN657">
        <f t="shared" si="524"/>
        <v>0</v>
      </c>
      <c r="GO657">
        <f t="shared" si="525"/>
        <v>0</v>
      </c>
      <c r="GP657">
        <f t="shared" si="526"/>
        <v>26525.46</v>
      </c>
      <c r="GR657">
        <v>0</v>
      </c>
      <c r="GS657">
        <v>3</v>
      </c>
      <c r="GT657">
        <v>0</v>
      </c>
      <c r="GU657" t="s">
        <v>3</v>
      </c>
      <c r="GV657">
        <f t="shared" si="527"/>
        <v>0</v>
      </c>
      <c r="GW657">
        <v>1</v>
      </c>
      <c r="GX657">
        <f t="shared" si="528"/>
        <v>0</v>
      </c>
      <c r="HA657">
        <v>0</v>
      </c>
      <c r="HB657">
        <v>0</v>
      </c>
      <c r="HC657">
        <f t="shared" si="529"/>
        <v>0</v>
      </c>
      <c r="HE657" t="s">
        <v>3</v>
      </c>
      <c r="HF657" t="s">
        <v>3</v>
      </c>
      <c r="HM657" t="s">
        <v>3</v>
      </c>
      <c r="HN657" t="s">
        <v>3</v>
      </c>
      <c r="HO657" t="s">
        <v>3</v>
      </c>
      <c r="HP657" t="s">
        <v>3</v>
      </c>
      <c r="HQ657" t="s">
        <v>3</v>
      </c>
      <c r="IK657">
        <v>0</v>
      </c>
    </row>
    <row r="658" spans="1:245" x14ac:dyDescent="0.2">
      <c r="A658">
        <v>17</v>
      </c>
      <c r="B658">
        <v>1</v>
      </c>
      <c r="D658">
        <f>ROW(EtalonRes!A400)</f>
        <v>400</v>
      </c>
      <c r="E658" t="s">
        <v>3</v>
      </c>
      <c r="F658" t="s">
        <v>157</v>
      </c>
      <c r="G658" t="s">
        <v>158</v>
      </c>
      <c r="H658" t="s">
        <v>39</v>
      </c>
      <c r="I658">
        <v>13</v>
      </c>
      <c r="J658">
        <v>0</v>
      </c>
      <c r="K658">
        <v>13</v>
      </c>
      <c r="O658">
        <f t="shared" si="497"/>
        <v>578852.04</v>
      </c>
      <c r="P658">
        <f t="shared" si="498"/>
        <v>228057.96</v>
      </c>
      <c r="Q658">
        <f t="shared" si="499"/>
        <v>0</v>
      </c>
      <c r="R658">
        <f t="shared" si="500"/>
        <v>0</v>
      </c>
      <c r="S658">
        <f t="shared" si="501"/>
        <v>350794.08</v>
      </c>
      <c r="T658">
        <f t="shared" si="502"/>
        <v>0</v>
      </c>
      <c r="U658">
        <f t="shared" si="503"/>
        <v>624</v>
      </c>
      <c r="V658">
        <f t="shared" si="504"/>
        <v>0</v>
      </c>
      <c r="W658">
        <f t="shared" si="505"/>
        <v>0</v>
      </c>
      <c r="X658">
        <f t="shared" si="506"/>
        <v>245555.86</v>
      </c>
      <c r="Y658">
        <f t="shared" si="507"/>
        <v>35079.410000000003</v>
      </c>
      <c r="AA658">
        <v>-1</v>
      </c>
      <c r="AB658">
        <f t="shared" si="508"/>
        <v>44527.08</v>
      </c>
      <c r="AC658">
        <f>ROUND(((ES658*3)),6)</f>
        <v>17542.919999999998</v>
      </c>
      <c r="AD658">
        <f>ROUND((((ET658)-(EU658))+AE658),6)</f>
        <v>0</v>
      </c>
      <c r="AE658">
        <f>ROUND((EU658),6)</f>
        <v>0</v>
      </c>
      <c r="AF658">
        <f>ROUND(((EV658*3)),6)</f>
        <v>26984.16</v>
      </c>
      <c r="AG658">
        <f t="shared" si="509"/>
        <v>0</v>
      </c>
      <c r="AH658">
        <f>((EW658*3))</f>
        <v>48</v>
      </c>
      <c r="AI658">
        <f>(EX658)</f>
        <v>0</v>
      </c>
      <c r="AJ658">
        <f t="shared" si="510"/>
        <v>0</v>
      </c>
      <c r="AK658">
        <v>14842.36</v>
      </c>
      <c r="AL658">
        <v>5847.64</v>
      </c>
      <c r="AM658">
        <v>0</v>
      </c>
      <c r="AN658">
        <v>0</v>
      </c>
      <c r="AO658">
        <v>8994.7199999999993</v>
      </c>
      <c r="AP658">
        <v>0</v>
      </c>
      <c r="AQ658">
        <v>16</v>
      </c>
      <c r="AR658">
        <v>0</v>
      </c>
      <c r="AS658">
        <v>0</v>
      </c>
      <c r="AT658">
        <v>70</v>
      </c>
      <c r="AU658">
        <v>10</v>
      </c>
      <c r="AV658">
        <v>1</v>
      </c>
      <c r="AW658">
        <v>1</v>
      </c>
      <c r="AZ658">
        <v>1</v>
      </c>
      <c r="BA658">
        <v>1</v>
      </c>
      <c r="BB658">
        <v>1</v>
      </c>
      <c r="BC658">
        <v>1</v>
      </c>
      <c r="BD658" t="s">
        <v>3</v>
      </c>
      <c r="BE658" t="s">
        <v>3</v>
      </c>
      <c r="BF658" t="s">
        <v>3</v>
      </c>
      <c r="BG658" t="s">
        <v>3</v>
      </c>
      <c r="BH658">
        <v>0</v>
      </c>
      <c r="BI658">
        <v>4</v>
      </c>
      <c r="BJ658" t="s">
        <v>159</v>
      </c>
      <c r="BM658">
        <v>0</v>
      </c>
      <c r="BN658">
        <v>0</v>
      </c>
      <c r="BO658" t="s">
        <v>3</v>
      </c>
      <c r="BP658">
        <v>0</v>
      </c>
      <c r="BQ658">
        <v>1</v>
      </c>
      <c r="BR658">
        <v>0</v>
      </c>
      <c r="BS658">
        <v>1</v>
      </c>
      <c r="BT658">
        <v>1</v>
      </c>
      <c r="BU658">
        <v>1</v>
      </c>
      <c r="BV658">
        <v>1</v>
      </c>
      <c r="BW658">
        <v>1</v>
      </c>
      <c r="BX658">
        <v>1</v>
      </c>
      <c r="BY658" t="s">
        <v>3</v>
      </c>
      <c r="BZ658">
        <v>70</v>
      </c>
      <c r="CA658">
        <v>10</v>
      </c>
      <c r="CB658" t="s">
        <v>3</v>
      </c>
      <c r="CE658">
        <v>0</v>
      </c>
      <c r="CF658">
        <v>0</v>
      </c>
      <c r="CG658">
        <v>0</v>
      </c>
      <c r="CM658">
        <v>0</v>
      </c>
      <c r="CN658" t="s">
        <v>3</v>
      </c>
      <c r="CO658">
        <v>0</v>
      </c>
      <c r="CP658">
        <f t="shared" si="511"/>
        <v>578852.04</v>
      </c>
      <c r="CQ658">
        <f t="shared" si="512"/>
        <v>17542.919999999998</v>
      </c>
      <c r="CR658">
        <f>((((ET658)*BB658-(EU658)*BS658)+AE658*BS658)*AV658)</f>
        <v>0</v>
      </c>
      <c r="CS658">
        <f t="shared" si="513"/>
        <v>0</v>
      </c>
      <c r="CT658">
        <f t="shared" si="514"/>
        <v>26984.16</v>
      </c>
      <c r="CU658">
        <f t="shared" si="515"/>
        <v>0</v>
      </c>
      <c r="CV658">
        <f t="shared" si="516"/>
        <v>48</v>
      </c>
      <c r="CW658">
        <f t="shared" si="517"/>
        <v>0</v>
      </c>
      <c r="CX658">
        <f t="shared" si="518"/>
        <v>0</v>
      </c>
      <c r="CY658">
        <f t="shared" si="519"/>
        <v>245555.85600000003</v>
      </c>
      <c r="CZ658">
        <f t="shared" si="520"/>
        <v>35079.408000000003</v>
      </c>
      <c r="DC658" t="s">
        <v>3</v>
      </c>
      <c r="DD658" t="s">
        <v>156</v>
      </c>
      <c r="DE658" t="s">
        <v>3</v>
      </c>
      <c r="DF658" t="s">
        <v>3</v>
      </c>
      <c r="DG658" t="s">
        <v>156</v>
      </c>
      <c r="DH658" t="s">
        <v>3</v>
      </c>
      <c r="DI658" t="s">
        <v>156</v>
      </c>
      <c r="DJ658" t="s">
        <v>3</v>
      </c>
      <c r="DK658" t="s">
        <v>3</v>
      </c>
      <c r="DL658" t="s">
        <v>3</v>
      </c>
      <c r="DM658" t="s">
        <v>3</v>
      </c>
      <c r="DN658">
        <v>0</v>
      </c>
      <c r="DO658">
        <v>0</v>
      </c>
      <c r="DP658">
        <v>1</v>
      </c>
      <c r="DQ658">
        <v>1</v>
      </c>
      <c r="DU658">
        <v>16987630</v>
      </c>
      <c r="DV658" t="s">
        <v>39</v>
      </c>
      <c r="DW658" t="s">
        <v>39</v>
      </c>
      <c r="DX658">
        <v>1</v>
      </c>
      <c r="DZ658" t="s">
        <v>3</v>
      </c>
      <c r="EA658" t="s">
        <v>3</v>
      </c>
      <c r="EB658" t="s">
        <v>3</v>
      </c>
      <c r="EC658" t="s">
        <v>3</v>
      </c>
      <c r="EE658">
        <v>1441815344</v>
      </c>
      <c r="EF658">
        <v>1</v>
      </c>
      <c r="EG658" t="s">
        <v>21</v>
      </c>
      <c r="EH658">
        <v>0</v>
      </c>
      <c r="EI658" t="s">
        <v>3</v>
      </c>
      <c r="EJ658">
        <v>4</v>
      </c>
      <c r="EK658">
        <v>0</v>
      </c>
      <c r="EL658" t="s">
        <v>22</v>
      </c>
      <c r="EM658" t="s">
        <v>23</v>
      </c>
      <c r="EO658" t="s">
        <v>3</v>
      </c>
      <c r="EQ658">
        <v>1024</v>
      </c>
      <c r="ER658">
        <v>14842.36</v>
      </c>
      <c r="ES658">
        <v>5847.64</v>
      </c>
      <c r="ET658">
        <v>0</v>
      </c>
      <c r="EU658">
        <v>0</v>
      </c>
      <c r="EV658">
        <v>8994.7199999999993</v>
      </c>
      <c r="EW658">
        <v>16</v>
      </c>
      <c r="EX658">
        <v>0</v>
      </c>
      <c r="EY658">
        <v>0</v>
      </c>
      <c r="FQ658">
        <v>0</v>
      </c>
      <c r="FR658">
        <f t="shared" si="521"/>
        <v>0</v>
      </c>
      <c r="FS658">
        <v>0</v>
      </c>
      <c r="FX658">
        <v>70</v>
      </c>
      <c r="FY658">
        <v>10</v>
      </c>
      <c r="GA658" t="s">
        <v>3</v>
      </c>
      <c r="GD658">
        <v>0</v>
      </c>
      <c r="GF658">
        <v>-593076646</v>
      </c>
      <c r="GG658">
        <v>2</v>
      </c>
      <c r="GH658">
        <v>1</v>
      </c>
      <c r="GI658">
        <v>-2</v>
      </c>
      <c r="GJ658">
        <v>0</v>
      </c>
      <c r="GK658">
        <f>ROUND(R658*(R12)/100,2)</f>
        <v>0</v>
      </c>
      <c r="GL658">
        <f t="shared" si="522"/>
        <v>0</v>
      </c>
      <c r="GM658">
        <f t="shared" si="523"/>
        <v>859487.31</v>
      </c>
      <c r="GN658">
        <f t="shared" si="524"/>
        <v>0</v>
      </c>
      <c r="GO658">
        <f t="shared" si="525"/>
        <v>0</v>
      </c>
      <c r="GP658">
        <f t="shared" si="526"/>
        <v>859487.31</v>
      </c>
      <c r="GR658">
        <v>0</v>
      </c>
      <c r="GS658">
        <v>3</v>
      </c>
      <c r="GT658">
        <v>0</v>
      </c>
      <c r="GU658" t="s">
        <v>3</v>
      </c>
      <c r="GV658">
        <f t="shared" si="527"/>
        <v>0</v>
      </c>
      <c r="GW658">
        <v>1</v>
      </c>
      <c r="GX658">
        <f t="shared" si="528"/>
        <v>0</v>
      </c>
      <c r="HA658">
        <v>0</v>
      </c>
      <c r="HB658">
        <v>0</v>
      </c>
      <c r="HC658">
        <f t="shared" si="529"/>
        <v>0</v>
      </c>
      <c r="HE658" t="s">
        <v>3</v>
      </c>
      <c r="HF658" t="s">
        <v>3</v>
      </c>
      <c r="HM658" t="s">
        <v>3</v>
      </c>
      <c r="HN658" t="s">
        <v>3</v>
      </c>
      <c r="HO658" t="s">
        <v>3</v>
      </c>
      <c r="HP658" t="s">
        <v>3</v>
      </c>
      <c r="HQ658" t="s">
        <v>3</v>
      </c>
      <c r="IK658">
        <v>0</v>
      </c>
    </row>
    <row r="659" spans="1:245" x14ac:dyDescent="0.2">
      <c r="A659">
        <v>17</v>
      </c>
      <c r="B659">
        <v>1</v>
      </c>
      <c r="D659">
        <f>ROW(EtalonRes!A402)</f>
        <v>402</v>
      </c>
      <c r="E659" t="s">
        <v>3</v>
      </c>
      <c r="F659" t="s">
        <v>160</v>
      </c>
      <c r="G659" t="s">
        <v>161</v>
      </c>
      <c r="H659" t="s">
        <v>39</v>
      </c>
      <c r="I659">
        <v>13</v>
      </c>
      <c r="J659">
        <v>0</v>
      </c>
      <c r="K659">
        <v>13</v>
      </c>
      <c r="O659">
        <f t="shared" si="497"/>
        <v>329483.7</v>
      </c>
      <c r="P659">
        <f t="shared" si="498"/>
        <v>614.25</v>
      </c>
      <c r="Q659">
        <f t="shared" si="499"/>
        <v>0</v>
      </c>
      <c r="R659">
        <f t="shared" si="500"/>
        <v>0</v>
      </c>
      <c r="S659">
        <f t="shared" si="501"/>
        <v>328869.45</v>
      </c>
      <c r="T659">
        <f t="shared" si="502"/>
        <v>0</v>
      </c>
      <c r="U659">
        <f t="shared" si="503"/>
        <v>585</v>
      </c>
      <c r="V659">
        <f t="shared" si="504"/>
        <v>0</v>
      </c>
      <c r="W659">
        <f t="shared" si="505"/>
        <v>0</v>
      </c>
      <c r="X659">
        <f t="shared" si="506"/>
        <v>230208.62</v>
      </c>
      <c r="Y659">
        <f t="shared" si="507"/>
        <v>32886.949999999997</v>
      </c>
      <c r="AA659">
        <v>-1</v>
      </c>
      <c r="AB659">
        <f t="shared" si="508"/>
        <v>25344.9</v>
      </c>
      <c r="AC659">
        <f>ROUND(((ES659*5)),6)</f>
        <v>47.25</v>
      </c>
      <c r="AD659">
        <f>ROUND((((ET659)-(EU659))+AE659),6)</f>
        <v>0</v>
      </c>
      <c r="AE659">
        <f>ROUND((EU659),6)</f>
        <v>0</v>
      </c>
      <c r="AF659">
        <f>ROUND(((EV659*5)),6)</f>
        <v>25297.65</v>
      </c>
      <c r="AG659">
        <f t="shared" si="509"/>
        <v>0</v>
      </c>
      <c r="AH659">
        <f>((EW659*5))</f>
        <v>45</v>
      </c>
      <c r="AI659">
        <f>(EX659)</f>
        <v>0</v>
      </c>
      <c r="AJ659">
        <f t="shared" si="510"/>
        <v>0</v>
      </c>
      <c r="AK659">
        <v>5068.9799999999996</v>
      </c>
      <c r="AL659">
        <v>9.4499999999999993</v>
      </c>
      <c r="AM659">
        <v>0</v>
      </c>
      <c r="AN659">
        <v>0</v>
      </c>
      <c r="AO659">
        <v>5059.53</v>
      </c>
      <c r="AP659">
        <v>0</v>
      </c>
      <c r="AQ659">
        <v>9</v>
      </c>
      <c r="AR659">
        <v>0</v>
      </c>
      <c r="AS659">
        <v>0</v>
      </c>
      <c r="AT659">
        <v>70</v>
      </c>
      <c r="AU659">
        <v>10</v>
      </c>
      <c r="AV659">
        <v>1</v>
      </c>
      <c r="AW659">
        <v>1</v>
      </c>
      <c r="AZ659">
        <v>1</v>
      </c>
      <c r="BA659">
        <v>1</v>
      </c>
      <c r="BB659">
        <v>1</v>
      </c>
      <c r="BC659">
        <v>1</v>
      </c>
      <c r="BD659" t="s">
        <v>3</v>
      </c>
      <c r="BE659" t="s">
        <v>3</v>
      </c>
      <c r="BF659" t="s">
        <v>3</v>
      </c>
      <c r="BG659" t="s">
        <v>3</v>
      </c>
      <c r="BH659">
        <v>0</v>
      </c>
      <c r="BI659">
        <v>4</v>
      </c>
      <c r="BJ659" t="s">
        <v>162</v>
      </c>
      <c r="BM659">
        <v>0</v>
      </c>
      <c r="BN659">
        <v>0</v>
      </c>
      <c r="BO659" t="s">
        <v>3</v>
      </c>
      <c r="BP659">
        <v>0</v>
      </c>
      <c r="BQ659">
        <v>1</v>
      </c>
      <c r="BR659">
        <v>0</v>
      </c>
      <c r="BS659">
        <v>1</v>
      </c>
      <c r="BT659">
        <v>1</v>
      </c>
      <c r="BU659">
        <v>1</v>
      </c>
      <c r="BV659">
        <v>1</v>
      </c>
      <c r="BW659">
        <v>1</v>
      </c>
      <c r="BX659">
        <v>1</v>
      </c>
      <c r="BY659" t="s">
        <v>3</v>
      </c>
      <c r="BZ659">
        <v>70</v>
      </c>
      <c r="CA659">
        <v>10</v>
      </c>
      <c r="CB659" t="s">
        <v>3</v>
      </c>
      <c r="CE659">
        <v>0</v>
      </c>
      <c r="CF659">
        <v>0</v>
      </c>
      <c r="CG659">
        <v>0</v>
      </c>
      <c r="CM659">
        <v>0</v>
      </c>
      <c r="CN659" t="s">
        <v>3</v>
      </c>
      <c r="CO659">
        <v>0</v>
      </c>
      <c r="CP659">
        <f t="shared" si="511"/>
        <v>329483.7</v>
      </c>
      <c r="CQ659">
        <f t="shared" si="512"/>
        <v>47.25</v>
      </c>
      <c r="CR659">
        <f>((((ET659)*BB659-(EU659)*BS659)+AE659*BS659)*AV659)</f>
        <v>0</v>
      </c>
      <c r="CS659">
        <f t="shared" si="513"/>
        <v>0</v>
      </c>
      <c r="CT659">
        <f t="shared" si="514"/>
        <v>25297.65</v>
      </c>
      <c r="CU659">
        <f t="shared" si="515"/>
        <v>0</v>
      </c>
      <c r="CV659">
        <f t="shared" si="516"/>
        <v>45</v>
      </c>
      <c r="CW659">
        <f t="shared" si="517"/>
        <v>0</v>
      </c>
      <c r="CX659">
        <f t="shared" si="518"/>
        <v>0</v>
      </c>
      <c r="CY659">
        <f t="shared" si="519"/>
        <v>230208.61499999999</v>
      </c>
      <c r="CZ659">
        <f t="shared" si="520"/>
        <v>32886.945</v>
      </c>
      <c r="DC659" t="s">
        <v>3</v>
      </c>
      <c r="DD659" t="s">
        <v>152</v>
      </c>
      <c r="DE659" t="s">
        <v>3</v>
      </c>
      <c r="DF659" t="s">
        <v>3</v>
      </c>
      <c r="DG659" t="s">
        <v>152</v>
      </c>
      <c r="DH659" t="s">
        <v>3</v>
      </c>
      <c r="DI659" t="s">
        <v>152</v>
      </c>
      <c r="DJ659" t="s">
        <v>3</v>
      </c>
      <c r="DK659" t="s">
        <v>3</v>
      </c>
      <c r="DL659" t="s">
        <v>3</v>
      </c>
      <c r="DM659" t="s">
        <v>3</v>
      </c>
      <c r="DN659">
        <v>0</v>
      </c>
      <c r="DO659">
        <v>0</v>
      </c>
      <c r="DP659">
        <v>1</v>
      </c>
      <c r="DQ659">
        <v>1</v>
      </c>
      <c r="DU659">
        <v>16987630</v>
      </c>
      <c r="DV659" t="s">
        <v>39</v>
      </c>
      <c r="DW659" t="s">
        <v>39</v>
      </c>
      <c r="DX659">
        <v>1</v>
      </c>
      <c r="DZ659" t="s">
        <v>3</v>
      </c>
      <c r="EA659" t="s">
        <v>3</v>
      </c>
      <c r="EB659" t="s">
        <v>3</v>
      </c>
      <c r="EC659" t="s">
        <v>3</v>
      </c>
      <c r="EE659">
        <v>1441815344</v>
      </c>
      <c r="EF659">
        <v>1</v>
      </c>
      <c r="EG659" t="s">
        <v>21</v>
      </c>
      <c r="EH659">
        <v>0</v>
      </c>
      <c r="EI659" t="s">
        <v>3</v>
      </c>
      <c r="EJ659">
        <v>4</v>
      </c>
      <c r="EK659">
        <v>0</v>
      </c>
      <c r="EL659" t="s">
        <v>22</v>
      </c>
      <c r="EM659" t="s">
        <v>23</v>
      </c>
      <c r="EO659" t="s">
        <v>3</v>
      </c>
      <c r="EQ659">
        <v>1024</v>
      </c>
      <c r="ER659">
        <v>5068.9799999999996</v>
      </c>
      <c r="ES659">
        <v>9.4499999999999993</v>
      </c>
      <c r="ET659">
        <v>0</v>
      </c>
      <c r="EU659">
        <v>0</v>
      </c>
      <c r="EV659">
        <v>5059.53</v>
      </c>
      <c r="EW659">
        <v>9</v>
      </c>
      <c r="EX659">
        <v>0</v>
      </c>
      <c r="EY659">
        <v>0</v>
      </c>
      <c r="FQ659">
        <v>0</v>
      </c>
      <c r="FR659">
        <f t="shared" si="521"/>
        <v>0</v>
      </c>
      <c r="FS659">
        <v>0</v>
      </c>
      <c r="FX659">
        <v>70</v>
      </c>
      <c r="FY659">
        <v>10</v>
      </c>
      <c r="GA659" t="s">
        <v>3</v>
      </c>
      <c r="GD659">
        <v>0</v>
      </c>
      <c r="GF659">
        <v>1005377869</v>
      </c>
      <c r="GG659">
        <v>2</v>
      </c>
      <c r="GH659">
        <v>1</v>
      </c>
      <c r="GI659">
        <v>-2</v>
      </c>
      <c r="GJ659">
        <v>0</v>
      </c>
      <c r="GK659">
        <f>ROUND(R659*(R12)/100,2)</f>
        <v>0</v>
      </c>
      <c r="GL659">
        <f t="shared" si="522"/>
        <v>0</v>
      </c>
      <c r="GM659">
        <f t="shared" si="523"/>
        <v>592579.27</v>
      </c>
      <c r="GN659">
        <f t="shared" si="524"/>
        <v>0</v>
      </c>
      <c r="GO659">
        <f t="shared" si="525"/>
        <v>0</v>
      </c>
      <c r="GP659">
        <f t="shared" si="526"/>
        <v>592579.27</v>
      </c>
      <c r="GR659">
        <v>0</v>
      </c>
      <c r="GS659">
        <v>3</v>
      </c>
      <c r="GT659">
        <v>0</v>
      </c>
      <c r="GU659" t="s">
        <v>3</v>
      </c>
      <c r="GV659">
        <f t="shared" si="527"/>
        <v>0</v>
      </c>
      <c r="GW659">
        <v>1</v>
      </c>
      <c r="GX659">
        <f t="shared" si="528"/>
        <v>0</v>
      </c>
      <c r="HA659">
        <v>0</v>
      </c>
      <c r="HB659">
        <v>0</v>
      </c>
      <c r="HC659">
        <f t="shared" si="529"/>
        <v>0</v>
      </c>
      <c r="HE659" t="s">
        <v>3</v>
      </c>
      <c r="HF659" t="s">
        <v>3</v>
      </c>
      <c r="HM659" t="s">
        <v>3</v>
      </c>
      <c r="HN659" t="s">
        <v>3</v>
      </c>
      <c r="HO659" t="s">
        <v>3</v>
      </c>
      <c r="HP659" t="s">
        <v>3</v>
      </c>
      <c r="HQ659" t="s">
        <v>3</v>
      </c>
      <c r="IK659">
        <v>0</v>
      </c>
    </row>
    <row r="660" spans="1:245" x14ac:dyDescent="0.2">
      <c r="A660">
        <v>17</v>
      </c>
      <c r="B660">
        <v>1</v>
      </c>
      <c r="D660">
        <f>ROW(EtalonRes!A404)</f>
        <v>404</v>
      </c>
      <c r="E660" t="s">
        <v>3</v>
      </c>
      <c r="F660" t="s">
        <v>164</v>
      </c>
      <c r="G660" t="s">
        <v>165</v>
      </c>
      <c r="H660" t="s">
        <v>39</v>
      </c>
      <c r="I660">
        <v>1</v>
      </c>
      <c r="J660">
        <v>0</v>
      </c>
      <c r="K660">
        <v>1</v>
      </c>
      <c r="O660">
        <f t="shared" si="497"/>
        <v>1076.31</v>
      </c>
      <c r="P660">
        <f t="shared" si="498"/>
        <v>1.89</v>
      </c>
      <c r="Q660">
        <f t="shared" si="499"/>
        <v>0</v>
      </c>
      <c r="R660">
        <f t="shared" si="500"/>
        <v>0</v>
      </c>
      <c r="S660">
        <f t="shared" si="501"/>
        <v>1074.42</v>
      </c>
      <c r="T660">
        <f t="shared" si="502"/>
        <v>0</v>
      </c>
      <c r="U660">
        <f t="shared" si="503"/>
        <v>1.7399999999999998</v>
      </c>
      <c r="V660">
        <f t="shared" si="504"/>
        <v>0</v>
      </c>
      <c r="W660">
        <f t="shared" si="505"/>
        <v>0</v>
      </c>
      <c r="X660">
        <f t="shared" si="506"/>
        <v>752.09</v>
      </c>
      <c r="Y660">
        <f t="shared" si="507"/>
        <v>107.44</v>
      </c>
      <c r="AA660">
        <v>-1</v>
      </c>
      <c r="AB660">
        <f t="shared" si="508"/>
        <v>1076.31</v>
      </c>
      <c r="AC660">
        <f>ROUND(((ES660*3)),6)</f>
        <v>1.89</v>
      </c>
      <c r="AD660">
        <f>ROUND(((((ET660*3))-((EU660*3)))+AE660),6)</f>
        <v>0</v>
      </c>
      <c r="AE660">
        <f>ROUND(((EU660*3)),6)</f>
        <v>0</v>
      </c>
      <c r="AF660">
        <f>ROUND(((EV660*3)),6)</f>
        <v>1074.42</v>
      </c>
      <c r="AG660">
        <f t="shared" si="509"/>
        <v>0</v>
      </c>
      <c r="AH660">
        <f>((EW660*3))</f>
        <v>1.7399999999999998</v>
      </c>
      <c r="AI660">
        <f>((EX660*3))</f>
        <v>0</v>
      </c>
      <c r="AJ660">
        <f t="shared" si="510"/>
        <v>0</v>
      </c>
      <c r="AK660">
        <v>358.77</v>
      </c>
      <c r="AL660">
        <v>0.63</v>
      </c>
      <c r="AM660">
        <v>0</v>
      </c>
      <c r="AN660">
        <v>0</v>
      </c>
      <c r="AO660">
        <v>358.14</v>
      </c>
      <c r="AP660">
        <v>0</v>
      </c>
      <c r="AQ660">
        <v>0.57999999999999996</v>
      </c>
      <c r="AR660">
        <v>0</v>
      </c>
      <c r="AS660">
        <v>0</v>
      </c>
      <c r="AT660">
        <v>70</v>
      </c>
      <c r="AU660">
        <v>10</v>
      </c>
      <c r="AV660">
        <v>1</v>
      </c>
      <c r="AW660">
        <v>1</v>
      </c>
      <c r="AZ660">
        <v>1</v>
      </c>
      <c r="BA660">
        <v>1</v>
      </c>
      <c r="BB660">
        <v>1</v>
      </c>
      <c r="BC660">
        <v>1</v>
      </c>
      <c r="BD660" t="s">
        <v>3</v>
      </c>
      <c r="BE660" t="s">
        <v>3</v>
      </c>
      <c r="BF660" t="s">
        <v>3</v>
      </c>
      <c r="BG660" t="s">
        <v>3</v>
      </c>
      <c r="BH660">
        <v>0</v>
      </c>
      <c r="BI660">
        <v>4</v>
      </c>
      <c r="BJ660" t="s">
        <v>166</v>
      </c>
      <c r="BM660">
        <v>0</v>
      </c>
      <c r="BN660">
        <v>0</v>
      </c>
      <c r="BO660" t="s">
        <v>3</v>
      </c>
      <c r="BP660">
        <v>0</v>
      </c>
      <c r="BQ660">
        <v>1</v>
      </c>
      <c r="BR660">
        <v>0</v>
      </c>
      <c r="BS660">
        <v>1</v>
      </c>
      <c r="BT660">
        <v>1</v>
      </c>
      <c r="BU660">
        <v>1</v>
      </c>
      <c r="BV660">
        <v>1</v>
      </c>
      <c r="BW660">
        <v>1</v>
      </c>
      <c r="BX660">
        <v>1</v>
      </c>
      <c r="BY660" t="s">
        <v>3</v>
      </c>
      <c r="BZ660">
        <v>70</v>
      </c>
      <c r="CA660">
        <v>10</v>
      </c>
      <c r="CB660" t="s">
        <v>3</v>
      </c>
      <c r="CE660">
        <v>0</v>
      </c>
      <c r="CF660">
        <v>0</v>
      </c>
      <c r="CG660">
        <v>0</v>
      </c>
      <c r="CM660">
        <v>0</v>
      </c>
      <c r="CN660" t="s">
        <v>3</v>
      </c>
      <c r="CO660">
        <v>0</v>
      </c>
      <c r="CP660">
        <f t="shared" si="511"/>
        <v>1076.3100000000002</v>
      </c>
      <c r="CQ660">
        <f t="shared" si="512"/>
        <v>1.89</v>
      </c>
      <c r="CR660">
        <f>(((((ET660*3))*BB660-((EU660*3))*BS660)+AE660*BS660)*AV660)</f>
        <v>0</v>
      </c>
      <c r="CS660">
        <f t="shared" si="513"/>
        <v>0</v>
      </c>
      <c r="CT660">
        <f t="shared" si="514"/>
        <v>1074.42</v>
      </c>
      <c r="CU660">
        <f t="shared" si="515"/>
        <v>0</v>
      </c>
      <c r="CV660">
        <f t="shared" si="516"/>
        <v>1.7399999999999998</v>
      </c>
      <c r="CW660">
        <f t="shared" si="517"/>
        <v>0</v>
      </c>
      <c r="CX660">
        <f t="shared" si="518"/>
        <v>0</v>
      </c>
      <c r="CY660">
        <f t="shared" si="519"/>
        <v>752.09400000000005</v>
      </c>
      <c r="CZ660">
        <f t="shared" si="520"/>
        <v>107.44200000000001</v>
      </c>
      <c r="DC660" t="s">
        <v>3</v>
      </c>
      <c r="DD660" t="s">
        <v>156</v>
      </c>
      <c r="DE660" t="s">
        <v>156</v>
      </c>
      <c r="DF660" t="s">
        <v>156</v>
      </c>
      <c r="DG660" t="s">
        <v>156</v>
      </c>
      <c r="DH660" t="s">
        <v>3</v>
      </c>
      <c r="DI660" t="s">
        <v>156</v>
      </c>
      <c r="DJ660" t="s">
        <v>156</v>
      </c>
      <c r="DK660" t="s">
        <v>3</v>
      </c>
      <c r="DL660" t="s">
        <v>3</v>
      </c>
      <c r="DM660" t="s">
        <v>3</v>
      </c>
      <c r="DN660">
        <v>0</v>
      </c>
      <c r="DO660">
        <v>0</v>
      </c>
      <c r="DP660">
        <v>1</v>
      </c>
      <c r="DQ660">
        <v>1</v>
      </c>
      <c r="DU660">
        <v>16987630</v>
      </c>
      <c r="DV660" t="s">
        <v>39</v>
      </c>
      <c r="DW660" t="s">
        <v>39</v>
      </c>
      <c r="DX660">
        <v>1</v>
      </c>
      <c r="DZ660" t="s">
        <v>3</v>
      </c>
      <c r="EA660" t="s">
        <v>3</v>
      </c>
      <c r="EB660" t="s">
        <v>3</v>
      </c>
      <c r="EC660" t="s">
        <v>3</v>
      </c>
      <c r="EE660">
        <v>1441815344</v>
      </c>
      <c r="EF660">
        <v>1</v>
      </c>
      <c r="EG660" t="s">
        <v>21</v>
      </c>
      <c r="EH660">
        <v>0</v>
      </c>
      <c r="EI660" t="s">
        <v>3</v>
      </c>
      <c r="EJ660">
        <v>4</v>
      </c>
      <c r="EK660">
        <v>0</v>
      </c>
      <c r="EL660" t="s">
        <v>22</v>
      </c>
      <c r="EM660" t="s">
        <v>23</v>
      </c>
      <c r="EO660" t="s">
        <v>3</v>
      </c>
      <c r="EQ660">
        <v>1024</v>
      </c>
      <c r="ER660">
        <v>358.77</v>
      </c>
      <c r="ES660">
        <v>0.63</v>
      </c>
      <c r="ET660">
        <v>0</v>
      </c>
      <c r="EU660">
        <v>0</v>
      </c>
      <c r="EV660">
        <v>358.14</v>
      </c>
      <c r="EW660">
        <v>0.57999999999999996</v>
      </c>
      <c r="EX660">
        <v>0</v>
      </c>
      <c r="EY660">
        <v>0</v>
      </c>
      <c r="FQ660">
        <v>0</v>
      </c>
      <c r="FR660">
        <f t="shared" si="521"/>
        <v>0</v>
      </c>
      <c r="FS660">
        <v>0</v>
      </c>
      <c r="FX660">
        <v>70</v>
      </c>
      <c r="FY660">
        <v>10</v>
      </c>
      <c r="GA660" t="s">
        <v>3</v>
      </c>
      <c r="GD660">
        <v>0</v>
      </c>
      <c r="GF660">
        <v>-1603277612</v>
      </c>
      <c r="GG660">
        <v>2</v>
      </c>
      <c r="GH660">
        <v>1</v>
      </c>
      <c r="GI660">
        <v>-2</v>
      </c>
      <c r="GJ660">
        <v>0</v>
      </c>
      <c r="GK660">
        <f>ROUND(R660*(R12)/100,2)</f>
        <v>0</v>
      </c>
      <c r="GL660">
        <f t="shared" si="522"/>
        <v>0</v>
      </c>
      <c r="GM660">
        <f t="shared" si="523"/>
        <v>1935.84</v>
      </c>
      <c r="GN660">
        <f t="shared" si="524"/>
        <v>0</v>
      </c>
      <c r="GO660">
        <f t="shared" si="525"/>
        <v>0</v>
      </c>
      <c r="GP660">
        <f t="shared" si="526"/>
        <v>1935.84</v>
      </c>
      <c r="GR660">
        <v>0</v>
      </c>
      <c r="GS660">
        <v>3</v>
      </c>
      <c r="GT660">
        <v>0</v>
      </c>
      <c r="GU660" t="s">
        <v>3</v>
      </c>
      <c r="GV660">
        <f t="shared" si="527"/>
        <v>0</v>
      </c>
      <c r="GW660">
        <v>1</v>
      </c>
      <c r="GX660">
        <f t="shared" si="528"/>
        <v>0</v>
      </c>
      <c r="HA660">
        <v>0</v>
      </c>
      <c r="HB660">
        <v>0</v>
      </c>
      <c r="HC660">
        <f t="shared" si="529"/>
        <v>0</v>
      </c>
      <c r="HE660" t="s">
        <v>3</v>
      </c>
      <c r="HF660" t="s">
        <v>3</v>
      </c>
      <c r="HM660" t="s">
        <v>3</v>
      </c>
      <c r="HN660" t="s">
        <v>3</v>
      </c>
      <c r="HO660" t="s">
        <v>3</v>
      </c>
      <c r="HP660" t="s">
        <v>3</v>
      </c>
      <c r="HQ660" t="s">
        <v>3</v>
      </c>
      <c r="IK660">
        <v>0</v>
      </c>
    </row>
    <row r="661" spans="1:245" x14ac:dyDescent="0.2">
      <c r="A661">
        <v>17</v>
      </c>
      <c r="B661">
        <v>1</v>
      </c>
      <c r="D661">
        <f>ROW(EtalonRes!A406)</f>
        <v>406</v>
      </c>
      <c r="E661" t="s">
        <v>3</v>
      </c>
      <c r="F661" t="s">
        <v>42</v>
      </c>
      <c r="G661" t="s">
        <v>74</v>
      </c>
      <c r="H661" t="s">
        <v>39</v>
      </c>
      <c r="I661">
        <f>ROUND(6*1,9)</f>
        <v>6</v>
      </c>
      <c r="J661">
        <v>0</v>
      </c>
      <c r="K661">
        <f>ROUND(6*1,9)</f>
        <v>6</v>
      </c>
      <c r="O661">
        <f t="shared" si="497"/>
        <v>3434.16</v>
      </c>
      <c r="P661">
        <f t="shared" si="498"/>
        <v>0</v>
      </c>
      <c r="Q661">
        <f t="shared" si="499"/>
        <v>938.16</v>
      </c>
      <c r="R661">
        <f t="shared" si="500"/>
        <v>594.84</v>
      </c>
      <c r="S661">
        <f t="shared" si="501"/>
        <v>2496</v>
      </c>
      <c r="T661">
        <f t="shared" si="502"/>
        <v>0</v>
      </c>
      <c r="U661">
        <f t="shared" si="503"/>
        <v>4.4399999999999995</v>
      </c>
      <c r="V661">
        <f t="shared" si="504"/>
        <v>0</v>
      </c>
      <c r="W661">
        <f t="shared" si="505"/>
        <v>0</v>
      </c>
      <c r="X661">
        <f t="shared" si="506"/>
        <v>1747.2</v>
      </c>
      <c r="Y661">
        <f t="shared" si="507"/>
        <v>249.6</v>
      </c>
      <c r="AA661">
        <v>-1</v>
      </c>
      <c r="AB661">
        <f t="shared" si="508"/>
        <v>572.36</v>
      </c>
      <c r="AC661">
        <f>ROUND(((ES661*2)),6)</f>
        <v>0</v>
      </c>
      <c r="AD661">
        <f>ROUND(((((ET661*2))-((EU661*2)))+AE661),6)</f>
        <v>156.36000000000001</v>
      </c>
      <c r="AE661">
        <f>ROUND(((EU661*2)),6)</f>
        <v>99.14</v>
      </c>
      <c r="AF661">
        <f>ROUND(((EV661*2)),6)</f>
        <v>416</v>
      </c>
      <c r="AG661">
        <f t="shared" si="509"/>
        <v>0</v>
      </c>
      <c r="AH661">
        <f>((EW661*2))</f>
        <v>0.74</v>
      </c>
      <c r="AI661">
        <f>((EX661*2))</f>
        <v>0</v>
      </c>
      <c r="AJ661">
        <f t="shared" si="510"/>
        <v>0</v>
      </c>
      <c r="AK661">
        <v>286.18</v>
      </c>
      <c r="AL661">
        <v>0</v>
      </c>
      <c r="AM661">
        <v>78.180000000000007</v>
      </c>
      <c r="AN661">
        <v>49.57</v>
      </c>
      <c r="AO661">
        <v>208</v>
      </c>
      <c r="AP661">
        <v>0</v>
      </c>
      <c r="AQ661">
        <v>0.37</v>
      </c>
      <c r="AR661">
        <v>0</v>
      </c>
      <c r="AS661">
        <v>0</v>
      </c>
      <c r="AT661">
        <v>70</v>
      </c>
      <c r="AU661">
        <v>10</v>
      </c>
      <c r="AV661">
        <v>1</v>
      </c>
      <c r="AW661">
        <v>1</v>
      </c>
      <c r="AZ661">
        <v>1</v>
      </c>
      <c r="BA661">
        <v>1</v>
      </c>
      <c r="BB661">
        <v>1</v>
      </c>
      <c r="BC661">
        <v>1</v>
      </c>
      <c r="BD661" t="s">
        <v>3</v>
      </c>
      <c r="BE661" t="s">
        <v>3</v>
      </c>
      <c r="BF661" t="s">
        <v>3</v>
      </c>
      <c r="BG661" t="s">
        <v>3</v>
      </c>
      <c r="BH661">
        <v>0</v>
      </c>
      <c r="BI661">
        <v>4</v>
      </c>
      <c r="BJ661" t="s">
        <v>44</v>
      </c>
      <c r="BM661">
        <v>0</v>
      </c>
      <c r="BN661">
        <v>0</v>
      </c>
      <c r="BO661" t="s">
        <v>3</v>
      </c>
      <c r="BP661">
        <v>0</v>
      </c>
      <c r="BQ661">
        <v>1</v>
      </c>
      <c r="BR661">
        <v>0</v>
      </c>
      <c r="BS661">
        <v>1</v>
      </c>
      <c r="BT661">
        <v>1</v>
      </c>
      <c r="BU661">
        <v>1</v>
      </c>
      <c r="BV661">
        <v>1</v>
      </c>
      <c r="BW661">
        <v>1</v>
      </c>
      <c r="BX661">
        <v>1</v>
      </c>
      <c r="BY661" t="s">
        <v>3</v>
      </c>
      <c r="BZ661">
        <v>70</v>
      </c>
      <c r="CA661">
        <v>10</v>
      </c>
      <c r="CB661" t="s">
        <v>3</v>
      </c>
      <c r="CE661">
        <v>0</v>
      </c>
      <c r="CF661">
        <v>0</v>
      </c>
      <c r="CG661">
        <v>0</v>
      </c>
      <c r="CM661">
        <v>0</v>
      </c>
      <c r="CN661" t="s">
        <v>3</v>
      </c>
      <c r="CO661">
        <v>0</v>
      </c>
      <c r="CP661">
        <f t="shared" si="511"/>
        <v>3434.16</v>
      </c>
      <c r="CQ661">
        <f t="shared" si="512"/>
        <v>0</v>
      </c>
      <c r="CR661">
        <f>(((((ET661*2))*BB661-((EU661*2))*BS661)+AE661*BS661)*AV661)</f>
        <v>156.36000000000001</v>
      </c>
      <c r="CS661">
        <f t="shared" si="513"/>
        <v>99.14</v>
      </c>
      <c r="CT661">
        <f t="shared" si="514"/>
        <v>416</v>
      </c>
      <c r="CU661">
        <f t="shared" si="515"/>
        <v>0</v>
      </c>
      <c r="CV661">
        <f t="shared" si="516"/>
        <v>0.74</v>
      </c>
      <c r="CW661">
        <f t="shared" si="517"/>
        <v>0</v>
      </c>
      <c r="CX661">
        <f t="shared" si="518"/>
        <v>0</v>
      </c>
      <c r="CY661">
        <f t="shared" si="519"/>
        <v>1747.2</v>
      </c>
      <c r="CZ661">
        <f t="shared" si="520"/>
        <v>249.6</v>
      </c>
      <c r="DC661" t="s">
        <v>3</v>
      </c>
      <c r="DD661" t="s">
        <v>253</v>
      </c>
      <c r="DE661" t="s">
        <v>253</v>
      </c>
      <c r="DF661" t="s">
        <v>253</v>
      </c>
      <c r="DG661" t="s">
        <v>253</v>
      </c>
      <c r="DH661" t="s">
        <v>3</v>
      </c>
      <c r="DI661" t="s">
        <v>253</v>
      </c>
      <c r="DJ661" t="s">
        <v>253</v>
      </c>
      <c r="DK661" t="s">
        <v>3</v>
      </c>
      <c r="DL661" t="s">
        <v>3</v>
      </c>
      <c r="DM661" t="s">
        <v>3</v>
      </c>
      <c r="DN661">
        <v>0</v>
      </c>
      <c r="DO661">
        <v>0</v>
      </c>
      <c r="DP661">
        <v>1</v>
      </c>
      <c r="DQ661">
        <v>1</v>
      </c>
      <c r="DU661">
        <v>16987630</v>
      </c>
      <c r="DV661" t="s">
        <v>39</v>
      </c>
      <c r="DW661" t="s">
        <v>39</v>
      </c>
      <c r="DX661">
        <v>1</v>
      </c>
      <c r="DZ661" t="s">
        <v>3</v>
      </c>
      <c r="EA661" t="s">
        <v>3</v>
      </c>
      <c r="EB661" t="s">
        <v>3</v>
      </c>
      <c r="EC661" t="s">
        <v>3</v>
      </c>
      <c r="EE661">
        <v>1441815344</v>
      </c>
      <c r="EF661">
        <v>1</v>
      </c>
      <c r="EG661" t="s">
        <v>21</v>
      </c>
      <c r="EH661">
        <v>0</v>
      </c>
      <c r="EI661" t="s">
        <v>3</v>
      </c>
      <c r="EJ661">
        <v>4</v>
      </c>
      <c r="EK661">
        <v>0</v>
      </c>
      <c r="EL661" t="s">
        <v>22</v>
      </c>
      <c r="EM661" t="s">
        <v>23</v>
      </c>
      <c r="EO661" t="s">
        <v>3</v>
      </c>
      <c r="EQ661">
        <v>1024</v>
      </c>
      <c r="ER661">
        <v>286.18</v>
      </c>
      <c r="ES661">
        <v>0</v>
      </c>
      <c r="ET661">
        <v>78.180000000000007</v>
      </c>
      <c r="EU661">
        <v>49.57</v>
      </c>
      <c r="EV661">
        <v>208</v>
      </c>
      <c r="EW661">
        <v>0.37</v>
      </c>
      <c r="EX661">
        <v>0</v>
      </c>
      <c r="EY661">
        <v>0</v>
      </c>
      <c r="FQ661">
        <v>0</v>
      </c>
      <c r="FR661">
        <f t="shared" si="521"/>
        <v>0</v>
      </c>
      <c r="FS661">
        <v>0</v>
      </c>
      <c r="FX661">
        <v>70</v>
      </c>
      <c r="FY661">
        <v>10</v>
      </c>
      <c r="GA661" t="s">
        <v>3</v>
      </c>
      <c r="GD661">
        <v>0</v>
      </c>
      <c r="GF661">
        <v>139218651</v>
      </c>
      <c r="GG661">
        <v>2</v>
      </c>
      <c r="GH661">
        <v>1</v>
      </c>
      <c r="GI661">
        <v>-2</v>
      </c>
      <c r="GJ661">
        <v>0</v>
      </c>
      <c r="GK661">
        <f>ROUND(R661*(R12)/100,2)</f>
        <v>642.42999999999995</v>
      </c>
      <c r="GL661">
        <f t="shared" si="522"/>
        <v>0</v>
      </c>
      <c r="GM661">
        <f t="shared" si="523"/>
        <v>6073.39</v>
      </c>
      <c r="GN661">
        <f t="shared" si="524"/>
        <v>0</v>
      </c>
      <c r="GO661">
        <f t="shared" si="525"/>
        <v>0</v>
      </c>
      <c r="GP661">
        <f t="shared" si="526"/>
        <v>6073.39</v>
      </c>
      <c r="GR661">
        <v>0</v>
      </c>
      <c r="GS661">
        <v>3</v>
      </c>
      <c r="GT661">
        <v>0</v>
      </c>
      <c r="GU661" t="s">
        <v>3</v>
      </c>
      <c r="GV661">
        <f t="shared" si="527"/>
        <v>0</v>
      </c>
      <c r="GW661">
        <v>1</v>
      </c>
      <c r="GX661">
        <f t="shared" si="528"/>
        <v>0</v>
      </c>
      <c r="HA661">
        <v>0</v>
      </c>
      <c r="HB661">
        <v>0</v>
      </c>
      <c r="HC661">
        <f t="shared" si="529"/>
        <v>0</v>
      </c>
      <c r="HE661" t="s">
        <v>3</v>
      </c>
      <c r="HF661" t="s">
        <v>3</v>
      </c>
      <c r="HM661" t="s">
        <v>3</v>
      </c>
      <c r="HN661" t="s">
        <v>3</v>
      </c>
      <c r="HO661" t="s">
        <v>3</v>
      </c>
      <c r="HP661" t="s">
        <v>3</v>
      </c>
      <c r="HQ661" t="s">
        <v>3</v>
      </c>
      <c r="IK661">
        <v>0</v>
      </c>
    </row>
    <row r="662" spans="1:245" x14ac:dyDescent="0.2">
      <c r="A662">
        <v>17</v>
      </c>
      <c r="B662">
        <v>1</v>
      </c>
      <c r="D662">
        <f>ROW(EtalonRes!A407)</f>
        <v>407</v>
      </c>
      <c r="E662" t="s">
        <v>3</v>
      </c>
      <c r="F662" t="s">
        <v>149</v>
      </c>
      <c r="G662" t="s">
        <v>150</v>
      </c>
      <c r="H662" t="s">
        <v>39</v>
      </c>
      <c r="I662">
        <v>2</v>
      </c>
      <c r="J662">
        <v>0</v>
      </c>
      <c r="K662">
        <v>2</v>
      </c>
      <c r="O662">
        <f t="shared" si="497"/>
        <v>2256.1</v>
      </c>
      <c r="P662">
        <f t="shared" si="498"/>
        <v>0</v>
      </c>
      <c r="Q662">
        <f t="shared" si="499"/>
        <v>0</v>
      </c>
      <c r="R662">
        <f t="shared" si="500"/>
        <v>0</v>
      </c>
      <c r="S662">
        <f t="shared" si="501"/>
        <v>2256.1</v>
      </c>
      <c r="T662">
        <f t="shared" si="502"/>
        <v>0</v>
      </c>
      <c r="U662">
        <f t="shared" si="503"/>
        <v>3.4000000000000004</v>
      </c>
      <c r="V662">
        <f t="shared" si="504"/>
        <v>0</v>
      </c>
      <c r="W662">
        <f t="shared" si="505"/>
        <v>0</v>
      </c>
      <c r="X662">
        <f t="shared" si="506"/>
        <v>1579.27</v>
      </c>
      <c r="Y662">
        <f t="shared" si="507"/>
        <v>225.61</v>
      </c>
      <c r="AA662">
        <v>-1</v>
      </c>
      <c r="AB662">
        <f t="shared" si="508"/>
        <v>1128.05</v>
      </c>
      <c r="AC662">
        <f>ROUND((ES662),6)</f>
        <v>0</v>
      </c>
      <c r="AD662">
        <f>ROUND((((ET662)-(EU662))+AE662),6)</f>
        <v>0</v>
      </c>
      <c r="AE662">
        <f>ROUND((EU662),6)</f>
        <v>0</v>
      </c>
      <c r="AF662">
        <f>ROUND(((EV662*5)),6)</f>
        <v>1128.05</v>
      </c>
      <c r="AG662">
        <f t="shared" si="509"/>
        <v>0</v>
      </c>
      <c r="AH662">
        <f>((EW662*5))</f>
        <v>1.7000000000000002</v>
      </c>
      <c r="AI662">
        <f>(EX662)</f>
        <v>0</v>
      </c>
      <c r="AJ662">
        <f t="shared" si="510"/>
        <v>0</v>
      </c>
      <c r="AK662">
        <v>225.61</v>
      </c>
      <c r="AL662">
        <v>0</v>
      </c>
      <c r="AM662">
        <v>0</v>
      </c>
      <c r="AN662">
        <v>0</v>
      </c>
      <c r="AO662">
        <v>225.61</v>
      </c>
      <c r="AP662">
        <v>0</v>
      </c>
      <c r="AQ662">
        <v>0.34</v>
      </c>
      <c r="AR662">
        <v>0</v>
      </c>
      <c r="AS662">
        <v>0</v>
      </c>
      <c r="AT662">
        <v>70</v>
      </c>
      <c r="AU662">
        <v>10</v>
      </c>
      <c r="AV662">
        <v>1</v>
      </c>
      <c r="AW662">
        <v>1</v>
      </c>
      <c r="AZ662">
        <v>1</v>
      </c>
      <c r="BA662">
        <v>1</v>
      </c>
      <c r="BB662">
        <v>1</v>
      </c>
      <c r="BC662">
        <v>1</v>
      </c>
      <c r="BD662" t="s">
        <v>3</v>
      </c>
      <c r="BE662" t="s">
        <v>3</v>
      </c>
      <c r="BF662" t="s">
        <v>3</v>
      </c>
      <c r="BG662" t="s">
        <v>3</v>
      </c>
      <c r="BH662">
        <v>0</v>
      </c>
      <c r="BI662">
        <v>4</v>
      </c>
      <c r="BJ662" t="s">
        <v>151</v>
      </c>
      <c r="BM662">
        <v>0</v>
      </c>
      <c r="BN662">
        <v>0</v>
      </c>
      <c r="BO662" t="s">
        <v>3</v>
      </c>
      <c r="BP662">
        <v>0</v>
      </c>
      <c r="BQ662">
        <v>1</v>
      </c>
      <c r="BR662">
        <v>0</v>
      </c>
      <c r="BS662">
        <v>1</v>
      </c>
      <c r="BT662">
        <v>1</v>
      </c>
      <c r="BU662">
        <v>1</v>
      </c>
      <c r="BV662">
        <v>1</v>
      </c>
      <c r="BW662">
        <v>1</v>
      </c>
      <c r="BX662">
        <v>1</v>
      </c>
      <c r="BY662" t="s">
        <v>3</v>
      </c>
      <c r="BZ662">
        <v>70</v>
      </c>
      <c r="CA662">
        <v>10</v>
      </c>
      <c r="CB662" t="s">
        <v>3</v>
      </c>
      <c r="CE662">
        <v>0</v>
      </c>
      <c r="CF662">
        <v>0</v>
      </c>
      <c r="CG662">
        <v>0</v>
      </c>
      <c r="CM662">
        <v>0</v>
      </c>
      <c r="CN662" t="s">
        <v>3</v>
      </c>
      <c r="CO662">
        <v>0</v>
      </c>
      <c r="CP662">
        <f t="shared" si="511"/>
        <v>2256.1</v>
      </c>
      <c r="CQ662">
        <f t="shared" si="512"/>
        <v>0</v>
      </c>
      <c r="CR662">
        <f>((((ET662)*BB662-(EU662)*BS662)+AE662*BS662)*AV662)</f>
        <v>0</v>
      </c>
      <c r="CS662">
        <f t="shared" si="513"/>
        <v>0</v>
      </c>
      <c r="CT662">
        <f t="shared" si="514"/>
        <v>1128.05</v>
      </c>
      <c r="CU662">
        <f t="shared" si="515"/>
        <v>0</v>
      </c>
      <c r="CV662">
        <f t="shared" si="516"/>
        <v>1.7000000000000002</v>
      </c>
      <c r="CW662">
        <f t="shared" si="517"/>
        <v>0</v>
      </c>
      <c r="CX662">
        <f t="shared" si="518"/>
        <v>0</v>
      </c>
      <c r="CY662">
        <f t="shared" si="519"/>
        <v>1579.27</v>
      </c>
      <c r="CZ662">
        <f t="shared" si="520"/>
        <v>225.61</v>
      </c>
      <c r="DC662" t="s">
        <v>3</v>
      </c>
      <c r="DD662" t="s">
        <v>3</v>
      </c>
      <c r="DE662" t="s">
        <v>3</v>
      </c>
      <c r="DF662" t="s">
        <v>3</v>
      </c>
      <c r="DG662" t="s">
        <v>152</v>
      </c>
      <c r="DH662" t="s">
        <v>3</v>
      </c>
      <c r="DI662" t="s">
        <v>152</v>
      </c>
      <c r="DJ662" t="s">
        <v>3</v>
      </c>
      <c r="DK662" t="s">
        <v>3</v>
      </c>
      <c r="DL662" t="s">
        <v>3</v>
      </c>
      <c r="DM662" t="s">
        <v>3</v>
      </c>
      <c r="DN662">
        <v>0</v>
      </c>
      <c r="DO662">
        <v>0</v>
      </c>
      <c r="DP662">
        <v>1</v>
      </c>
      <c r="DQ662">
        <v>1</v>
      </c>
      <c r="DU662">
        <v>16987630</v>
      </c>
      <c r="DV662" t="s">
        <v>39</v>
      </c>
      <c r="DW662" t="s">
        <v>39</v>
      </c>
      <c r="DX662">
        <v>1</v>
      </c>
      <c r="DZ662" t="s">
        <v>3</v>
      </c>
      <c r="EA662" t="s">
        <v>3</v>
      </c>
      <c r="EB662" t="s">
        <v>3</v>
      </c>
      <c r="EC662" t="s">
        <v>3</v>
      </c>
      <c r="EE662">
        <v>1441815344</v>
      </c>
      <c r="EF662">
        <v>1</v>
      </c>
      <c r="EG662" t="s">
        <v>21</v>
      </c>
      <c r="EH662">
        <v>0</v>
      </c>
      <c r="EI662" t="s">
        <v>3</v>
      </c>
      <c r="EJ662">
        <v>4</v>
      </c>
      <c r="EK662">
        <v>0</v>
      </c>
      <c r="EL662" t="s">
        <v>22</v>
      </c>
      <c r="EM662" t="s">
        <v>23</v>
      </c>
      <c r="EO662" t="s">
        <v>3</v>
      </c>
      <c r="EQ662">
        <v>1024</v>
      </c>
      <c r="ER662">
        <v>225.61</v>
      </c>
      <c r="ES662">
        <v>0</v>
      </c>
      <c r="ET662">
        <v>0</v>
      </c>
      <c r="EU662">
        <v>0</v>
      </c>
      <c r="EV662">
        <v>225.61</v>
      </c>
      <c r="EW662">
        <v>0.34</v>
      </c>
      <c r="EX662">
        <v>0</v>
      </c>
      <c r="EY662">
        <v>0</v>
      </c>
      <c r="FQ662">
        <v>0</v>
      </c>
      <c r="FR662">
        <f t="shared" si="521"/>
        <v>0</v>
      </c>
      <c r="FS662">
        <v>0</v>
      </c>
      <c r="FX662">
        <v>70</v>
      </c>
      <c r="FY662">
        <v>10</v>
      </c>
      <c r="GA662" t="s">
        <v>3</v>
      </c>
      <c r="GD662">
        <v>0</v>
      </c>
      <c r="GF662">
        <v>-882349918</v>
      </c>
      <c r="GG662">
        <v>2</v>
      </c>
      <c r="GH662">
        <v>1</v>
      </c>
      <c r="GI662">
        <v>-2</v>
      </c>
      <c r="GJ662">
        <v>0</v>
      </c>
      <c r="GK662">
        <f>ROUND(R662*(R12)/100,2)</f>
        <v>0</v>
      </c>
      <c r="GL662">
        <f t="shared" si="522"/>
        <v>0</v>
      </c>
      <c r="GM662">
        <f t="shared" si="523"/>
        <v>4060.98</v>
      </c>
      <c r="GN662">
        <f t="shared" si="524"/>
        <v>0</v>
      </c>
      <c r="GO662">
        <f t="shared" si="525"/>
        <v>0</v>
      </c>
      <c r="GP662">
        <f t="shared" si="526"/>
        <v>4060.98</v>
      </c>
      <c r="GR662">
        <v>0</v>
      </c>
      <c r="GS662">
        <v>3</v>
      </c>
      <c r="GT662">
        <v>0</v>
      </c>
      <c r="GU662" t="s">
        <v>3</v>
      </c>
      <c r="GV662">
        <f t="shared" si="527"/>
        <v>0</v>
      </c>
      <c r="GW662">
        <v>1</v>
      </c>
      <c r="GX662">
        <f t="shared" si="528"/>
        <v>0</v>
      </c>
      <c r="HA662">
        <v>0</v>
      </c>
      <c r="HB662">
        <v>0</v>
      </c>
      <c r="HC662">
        <f t="shared" si="529"/>
        <v>0</v>
      </c>
      <c r="HE662" t="s">
        <v>3</v>
      </c>
      <c r="HF662" t="s">
        <v>3</v>
      </c>
      <c r="HM662" t="s">
        <v>3</v>
      </c>
      <c r="HN662" t="s">
        <v>3</v>
      </c>
      <c r="HO662" t="s">
        <v>3</v>
      </c>
      <c r="HP662" t="s">
        <v>3</v>
      </c>
      <c r="HQ662" t="s">
        <v>3</v>
      </c>
      <c r="IK662">
        <v>0</v>
      </c>
    </row>
    <row r="663" spans="1:245" x14ac:dyDescent="0.2">
      <c r="A663">
        <v>17</v>
      </c>
      <c r="B663">
        <v>1</v>
      </c>
      <c r="D663">
        <f>ROW(EtalonRes!A410)</f>
        <v>410</v>
      </c>
      <c r="E663" t="s">
        <v>3</v>
      </c>
      <c r="F663" t="s">
        <v>153</v>
      </c>
      <c r="G663" t="s">
        <v>248</v>
      </c>
      <c r="H663" t="s">
        <v>39</v>
      </c>
      <c r="I663">
        <v>2</v>
      </c>
      <c r="J663">
        <v>0</v>
      </c>
      <c r="K663">
        <v>2</v>
      </c>
      <c r="O663">
        <f t="shared" si="497"/>
        <v>20694.12</v>
      </c>
      <c r="P663">
        <f t="shared" si="498"/>
        <v>786.9</v>
      </c>
      <c r="Q663">
        <f t="shared" si="499"/>
        <v>0</v>
      </c>
      <c r="R663">
        <f t="shared" si="500"/>
        <v>0</v>
      </c>
      <c r="S663">
        <f t="shared" si="501"/>
        <v>19907.22</v>
      </c>
      <c r="T663">
        <f t="shared" si="502"/>
        <v>0</v>
      </c>
      <c r="U663">
        <f t="shared" si="503"/>
        <v>30</v>
      </c>
      <c r="V663">
        <f t="shared" si="504"/>
        <v>0</v>
      </c>
      <c r="W663">
        <f t="shared" si="505"/>
        <v>0</v>
      </c>
      <c r="X663">
        <f t="shared" si="506"/>
        <v>13935.05</v>
      </c>
      <c r="Y663">
        <f t="shared" si="507"/>
        <v>1990.72</v>
      </c>
      <c r="AA663">
        <v>-1</v>
      </c>
      <c r="AB663">
        <f t="shared" si="508"/>
        <v>10347.06</v>
      </c>
      <c r="AC663">
        <f>ROUND(((ES663*3)),6)</f>
        <v>393.45</v>
      </c>
      <c r="AD663">
        <f>ROUND((((ET663)-(EU663))+AE663),6)</f>
        <v>0</v>
      </c>
      <c r="AE663">
        <f>ROUND((EU663),6)</f>
        <v>0</v>
      </c>
      <c r="AF663">
        <f>ROUND(((EV663*3)),6)</f>
        <v>9953.61</v>
      </c>
      <c r="AG663">
        <f t="shared" si="509"/>
        <v>0</v>
      </c>
      <c r="AH663">
        <f>((EW663*3))</f>
        <v>15</v>
      </c>
      <c r="AI663">
        <f>(EX663)</f>
        <v>0</v>
      </c>
      <c r="AJ663">
        <f t="shared" si="510"/>
        <v>0</v>
      </c>
      <c r="AK663">
        <v>3449.02</v>
      </c>
      <c r="AL663">
        <v>131.15</v>
      </c>
      <c r="AM663">
        <v>0</v>
      </c>
      <c r="AN663">
        <v>0</v>
      </c>
      <c r="AO663">
        <v>3317.87</v>
      </c>
      <c r="AP663">
        <v>0</v>
      </c>
      <c r="AQ663">
        <v>5</v>
      </c>
      <c r="AR663">
        <v>0</v>
      </c>
      <c r="AS663">
        <v>0</v>
      </c>
      <c r="AT663">
        <v>70</v>
      </c>
      <c r="AU663">
        <v>10</v>
      </c>
      <c r="AV663">
        <v>1</v>
      </c>
      <c r="AW663">
        <v>1</v>
      </c>
      <c r="AZ663">
        <v>1</v>
      </c>
      <c r="BA663">
        <v>1</v>
      </c>
      <c r="BB663">
        <v>1</v>
      </c>
      <c r="BC663">
        <v>1</v>
      </c>
      <c r="BD663" t="s">
        <v>3</v>
      </c>
      <c r="BE663" t="s">
        <v>3</v>
      </c>
      <c r="BF663" t="s">
        <v>3</v>
      </c>
      <c r="BG663" t="s">
        <v>3</v>
      </c>
      <c r="BH663">
        <v>0</v>
      </c>
      <c r="BI663">
        <v>4</v>
      </c>
      <c r="BJ663" t="s">
        <v>155</v>
      </c>
      <c r="BM663">
        <v>0</v>
      </c>
      <c r="BN663">
        <v>0</v>
      </c>
      <c r="BO663" t="s">
        <v>3</v>
      </c>
      <c r="BP663">
        <v>0</v>
      </c>
      <c r="BQ663">
        <v>1</v>
      </c>
      <c r="BR663">
        <v>0</v>
      </c>
      <c r="BS663">
        <v>1</v>
      </c>
      <c r="BT663">
        <v>1</v>
      </c>
      <c r="BU663">
        <v>1</v>
      </c>
      <c r="BV663">
        <v>1</v>
      </c>
      <c r="BW663">
        <v>1</v>
      </c>
      <c r="BX663">
        <v>1</v>
      </c>
      <c r="BY663" t="s">
        <v>3</v>
      </c>
      <c r="BZ663">
        <v>70</v>
      </c>
      <c r="CA663">
        <v>10</v>
      </c>
      <c r="CB663" t="s">
        <v>3</v>
      </c>
      <c r="CE663">
        <v>0</v>
      </c>
      <c r="CF663">
        <v>0</v>
      </c>
      <c r="CG663">
        <v>0</v>
      </c>
      <c r="CM663">
        <v>0</v>
      </c>
      <c r="CN663" t="s">
        <v>3</v>
      </c>
      <c r="CO663">
        <v>0</v>
      </c>
      <c r="CP663">
        <f t="shared" si="511"/>
        <v>20694.120000000003</v>
      </c>
      <c r="CQ663">
        <f t="shared" si="512"/>
        <v>393.45</v>
      </c>
      <c r="CR663">
        <f>((((ET663)*BB663-(EU663)*BS663)+AE663*BS663)*AV663)</f>
        <v>0</v>
      </c>
      <c r="CS663">
        <f t="shared" si="513"/>
        <v>0</v>
      </c>
      <c r="CT663">
        <f t="shared" si="514"/>
        <v>9953.61</v>
      </c>
      <c r="CU663">
        <f t="shared" si="515"/>
        <v>0</v>
      </c>
      <c r="CV663">
        <f t="shared" si="516"/>
        <v>15</v>
      </c>
      <c r="CW663">
        <f t="shared" si="517"/>
        <v>0</v>
      </c>
      <c r="CX663">
        <f t="shared" si="518"/>
        <v>0</v>
      </c>
      <c r="CY663">
        <f t="shared" si="519"/>
        <v>13935.054000000002</v>
      </c>
      <c r="CZ663">
        <f t="shared" si="520"/>
        <v>1990.7220000000002</v>
      </c>
      <c r="DC663" t="s">
        <v>3</v>
      </c>
      <c r="DD663" t="s">
        <v>156</v>
      </c>
      <c r="DE663" t="s">
        <v>3</v>
      </c>
      <c r="DF663" t="s">
        <v>3</v>
      </c>
      <c r="DG663" t="s">
        <v>156</v>
      </c>
      <c r="DH663" t="s">
        <v>3</v>
      </c>
      <c r="DI663" t="s">
        <v>156</v>
      </c>
      <c r="DJ663" t="s">
        <v>3</v>
      </c>
      <c r="DK663" t="s">
        <v>3</v>
      </c>
      <c r="DL663" t="s">
        <v>3</v>
      </c>
      <c r="DM663" t="s">
        <v>3</v>
      </c>
      <c r="DN663">
        <v>0</v>
      </c>
      <c r="DO663">
        <v>0</v>
      </c>
      <c r="DP663">
        <v>1</v>
      </c>
      <c r="DQ663">
        <v>1</v>
      </c>
      <c r="DU663">
        <v>16987630</v>
      </c>
      <c r="DV663" t="s">
        <v>39</v>
      </c>
      <c r="DW663" t="s">
        <v>39</v>
      </c>
      <c r="DX663">
        <v>1</v>
      </c>
      <c r="DZ663" t="s">
        <v>3</v>
      </c>
      <c r="EA663" t="s">
        <v>3</v>
      </c>
      <c r="EB663" t="s">
        <v>3</v>
      </c>
      <c r="EC663" t="s">
        <v>3</v>
      </c>
      <c r="EE663">
        <v>1441815344</v>
      </c>
      <c r="EF663">
        <v>1</v>
      </c>
      <c r="EG663" t="s">
        <v>21</v>
      </c>
      <c r="EH663">
        <v>0</v>
      </c>
      <c r="EI663" t="s">
        <v>3</v>
      </c>
      <c r="EJ663">
        <v>4</v>
      </c>
      <c r="EK663">
        <v>0</v>
      </c>
      <c r="EL663" t="s">
        <v>22</v>
      </c>
      <c r="EM663" t="s">
        <v>23</v>
      </c>
      <c r="EO663" t="s">
        <v>3</v>
      </c>
      <c r="EQ663">
        <v>1024</v>
      </c>
      <c r="ER663">
        <v>3449.02</v>
      </c>
      <c r="ES663">
        <v>131.15</v>
      </c>
      <c r="ET663">
        <v>0</v>
      </c>
      <c r="EU663">
        <v>0</v>
      </c>
      <c r="EV663">
        <v>3317.87</v>
      </c>
      <c r="EW663">
        <v>5</v>
      </c>
      <c r="EX663">
        <v>0</v>
      </c>
      <c r="EY663">
        <v>0</v>
      </c>
      <c r="FQ663">
        <v>0</v>
      </c>
      <c r="FR663">
        <f t="shared" si="521"/>
        <v>0</v>
      </c>
      <c r="FS663">
        <v>0</v>
      </c>
      <c r="FX663">
        <v>70</v>
      </c>
      <c r="FY663">
        <v>10</v>
      </c>
      <c r="GA663" t="s">
        <v>3</v>
      </c>
      <c r="GD663">
        <v>0</v>
      </c>
      <c r="GF663">
        <v>-587063322</v>
      </c>
      <c r="GG663">
        <v>2</v>
      </c>
      <c r="GH663">
        <v>1</v>
      </c>
      <c r="GI663">
        <v>-2</v>
      </c>
      <c r="GJ663">
        <v>0</v>
      </c>
      <c r="GK663">
        <f>ROUND(R663*(R12)/100,2)</f>
        <v>0</v>
      </c>
      <c r="GL663">
        <f t="shared" si="522"/>
        <v>0</v>
      </c>
      <c r="GM663">
        <f t="shared" si="523"/>
        <v>36619.89</v>
      </c>
      <c r="GN663">
        <f t="shared" si="524"/>
        <v>0</v>
      </c>
      <c r="GO663">
        <f t="shared" si="525"/>
        <v>0</v>
      </c>
      <c r="GP663">
        <f t="shared" si="526"/>
        <v>36619.89</v>
      </c>
      <c r="GR663">
        <v>0</v>
      </c>
      <c r="GS663">
        <v>3</v>
      </c>
      <c r="GT663">
        <v>0</v>
      </c>
      <c r="GU663" t="s">
        <v>3</v>
      </c>
      <c r="GV663">
        <f t="shared" si="527"/>
        <v>0</v>
      </c>
      <c r="GW663">
        <v>1</v>
      </c>
      <c r="GX663">
        <f t="shared" si="528"/>
        <v>0</v>
      </c>
      <c r="HA663">
        <v>0</v>
      </c>
      <c r="HB663">
        <v>0</v>
      </c>
      <c r="HC663">
        <f t="shared" si="529"/>
        <v>0</v>
      </c>
      <c r="HE663" t="s">
        <v>3</v>
      </c>
      <c r="HF663" t="s">
        <v>3</v>
      </c>
      <c r="HM663" t="s">
        <v>3</v>
      </c>
      <c r="HN663" t="s">
        <v>3</v>
      </c>
      <c r="HO663" t="s">
        <v>3</v>
      </c>
      <c r="HP663" t="s">
        <v>3</v>
      </c>
      <c r="HQ663" t="s">
        <v>3</v>
      </c>
      <c r="IK663">
        <v>0</v>
      </c>
    </row>
    <row r="665" spans="1:245" x14ac:dyDescent="0.2">
      <c r="A665" s="2">
        <v>51</v>
      </c>
      <c r="B665" s="2">
        <f>B648</f>
        <v>1</v>
      </c>
      <c r="C665" s="2">
        <f>A648</f>
        <v>5</v>
      </c>
      <c r="D665" s="2">
        <f>ROW(A648)</f>
        <v>648</v>
      </c>
      <c r="E665" s="2"/>
      <c r="F665" s="2" t="str">
        <f>IF(F648&lt;&gt;"",F648,"")</f>
        <v>Новый подраздел</v>
      </c>
      <c r="G665" s="2" t="str">
        <f>IF(G648&lt;&gt;"",G648,"")</f>
        <v>Кондиционирование</v>
      </c>
      <c r="H665" s="2">
        <v>0</v>
      </c>
      <c r="I665" s="2"/>
      <c r="J665" s="2"/>
      <c r="K665" s="2"/>
      <c r="L665" s="2"/>
      <c r="M665" s="2"/>
      <c r="N665" s="2"/>
      <c r="O665" s="2">
        <f t="shared" ref="O665:T665" si="530">ROUND(AB665,2)</f>
        <v>12974.55</v>
      </c>
      <c r="P665" s="2">
        <f t="shared" si="530"/>
        <v>8.4</v>
      </c>
      <c r="Q665" s="2">
        <f t="shared" si="530"/>
        <v>26.4</v>
      </c>
      <c r="R665" s="2">
        <f t="shared" si="530"/>
        <v>0.35</v>
      </c>
      <c r="S665" s="2">
        <f t="shared" si="530"/>
        <v>12939.75</v>
      </c>
      <c r="T665" s="2">
        <f t="shared" si="530"/>
        <v>0</v>
      </c>
      <c r="U665" s="2">
        <f>AH665</f>
        <v>19.5</v>
      </c>
      <c r="V665" s="2">
        <f>AI665</f>
        <v>0</v>
      </c>
      <c r="W665" s="2">
        <f>ROUND(AJ665,2)</f>
        <v>0</v>
      </c>
      <c r="X665" s="2">
        <f>ROUND(AK665,2)</f>
        <v>9057.83</v>
      </c>
      <c r="Y665" s="2">
        <f>ROUND(AL665,2)</f>
        <v>1293.98</v>
      </c>
      <c r="Z665" s="2"/>
      <c r="AA665" s="2"/>
      <c r="AB665" s="2">
        <f>ROUND(SUMIF(AA652:AA663,"=1471531721",O652:O663),2)</f>
        <v>12974.55</v>
      </c>
      <c r="AC665" s="2">
        <f>ROUND(SUMIF(AA652:AA663,"=1471531721",P652:P663),2)</f>
        <v>8.4</v>
      </c>
      <c r="AD665" s="2">
        <f>ROUND(SUMIF(AA652:AA663,"=1471531721",Q652:Q663),2)</f>
        <v>26.4</v>
      </c>
      <c r="AE665" s="2">
        <f>ROUND(SUMIF(AA652:AA663,"=1471531721",R652:R663),2)</f>
        <v>0.35</v>
      </c>
      <c r="AF665" s="2">
        <f>ROUND(SUMIF(AA652:AA663,"=1471531721",S652:S663),2)</f>
        <v>12939.75</v>
      </c>
      <c r="AG665" s="2">
        <f>ROUND(SUMIF(AA652:AA663,"=1471531721",T652:T663),2)</f>
        <v>0</v>
      </c>
      <c r="AH665" s="2">
        <f>SUMIF(AA652:AA663,"=1471531721",U652:U663)</f>
        <v>19.5</v>
      </c>
      <c r="AI665" s="2">
        <f>SUMIF(AA652:AA663,"=1471531721",V652:V663)</f>
        <v>0</v>
      </c>
      <c r="AJ665" s="2">
        <f>ROUND(SUMIF(AA652:AA663,"=1471531721",W652:W663),2)</f>
        <v>0</v>
      </c>
      <c r="AK665" s="2">
        <f>ROUND(SUMIF(AA652:AA663,"=1471531721",X652:X663),2)</f>
        <v>9057.83</v>
      </c>
      <c r="AL665" s="2">
        <f>ROUND(SUMIF(AA652:AA663,"=1471531721",Y652:Y663),2)</f>
        <v>1293.98</v>
      </c>
      <c r="AM665" s="2"/>
      <c r="AN665" s="2"/>
      <c r="AO665" s="2">
        <f t="shared" ref="AO665:BD665" si="531">ROUND(BX665,2)</f>
        <v>0</v>
      </c>
      <c r="AP665" s="2">
        <f t="shared" si="531"/>
        <v>0</v>
      </c>
      <c r="AQ665" s="2">
        <f t="shared" si="531"/>
        <v>0</v>
      </c>
      <c r="AR665" s="2">
        <f t="shared" si="531"/>
        <v>23326.74</v>
      </c>
      <c r="AS665" s="2">
        <f t="shared" si="531"/>
        <v>0</v>
      </c>
      <c r="AT665" s="2">
        <f t="shared" si="531"/>
        <v>0</v>
      </c>
      <c r="AU665" s="2">
        <f t="shared" si="531"/>
        <v>23326.74</v>
      </c>
      <c r="AV665" s="2">
        <f t="shared" si="531"/>
        <v>8.4</v>
      </c>
      <c r="AW665" s="2">
        <f t="shared" si="531"/>
        <v>8.4</v>
      </c>
      <c r="AX665" s="2">
        <f t="shared" si="531"/>
        <v>0</v>
      </c>
      <c r="AY665" s="2">
        <f t="shared" si="531"/>
        <v>8.4</v>
      </c>
      <c r="AZ665" s="2">
        <f t="shared" si="531"/>
        <v>0</v>
      </c>
      <c r="BA665" s="2">
        <f t="shared" si="531"/>
        <v>0</v>
      </c>
      <c r="BB665" s="2">
        <f t="shared" si="531"/>
        <v>0</v>
      </c>
      <c r="BC665" s="2">
        <f t="shared" si="531"/>
        <v>0</v>
      </c>
      <c r="BD665" s="2">
        <f t="shared" si="531"/>
        <v>0</v>
      </c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>
        <f>ROUND(SUMIF(AA652:AA663,"=1471531721",FQ652:FQ663),2)</f>
        <v>0</v>
      </c>
      <c r="BY665" s="2">
        <f>ROUND(SUMIF(AA652:AA663,"=1471531721",FR652:FR663),2)</f>
        <v>0</v>
      </c>
      <c r="BZ665" s="2">
        <f>ROUND(SUMIF(AA652:AA663,"=1471531721",GL652:GL663),2)</f>
        <v>0</v>
      </c>
      <c r="CA665" s="2">
        <f>ROUND(SUMIF(AA652:AA663,"=1471531721",GM652:GM663),2)</f>
        <v>23326.74</v>
      </c>
      <c r="CB665" s="2">
        <f>ROUND(SUMIF(AA652:AA663,"=1471531721",GN652:GN663),2)</f>
        <v>0</v>
      </c>
      <c r="CC665" s="2">
        <f>ROUND(SUMIF(AA652:AA663,"=1471531721",GO652:GO663),2)</f>
        <v>0</v>
      </c>
      <c r="CD665" s="2">
        <f>ROUND(SUMIF(AA652:AA663,"=1471531721",GP652:GP663),2)</f>
        <v>23326.74</v>
      </c>
      <c r="CE665" s="2">
        <f>AC665-BX665</f>
        <v>8.4</v>
      </c>
      <c r="CF665" s="2">
        <f>AC665-BY665</f>
        <v>8.4</v>
      </c>
      <c r="CG665" s="2">
        <f>BX665-BZ665</f>
        <v>0</v>
      </c>
      <c r="CH665" s="2">
        <f>AC665-BX665-BY665+BZ665</f>
        <v>8.4</v>
      </c>
      <c r="CI665" s="2">
        <f>BY665-BZ665</f>
        <v>0</v>
      </c>
      <c r="CJ665" s="2">
        <f>ROUND(SUMIF(AA652:AA663,"=1471531721",GX652:GX663),2)</f>
        <v>0</v>
      </c>
      <c r="CK665" s="2">
        <f>ROUND(SUMIF(AA652:AA663,"=1471531721",GY652:GY663),2)</f>
        <v>0</v>
      </c>
      <c r="CL665" s="2">
        <f>ROUND(SUMIF(AA652:AA663,"=1471531721",GZ652:GZ663),2)</f>
        <v>0</v>
      </c>
      <c r="CM665" s="2">
        <f>ROUND(SUMIF(AA652:AA663,"=1471531721",HD652:HD663),2)</f>
        <v>0</v>
      </c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3"/>
      <c r="DH665" s="3"/>
      <c r="DI665" s="3"/>
      <c r="DJ665" s="3"/>
      <c r="DK665" s="3"/>
      <c r="DL665" s="3"/>
      <c r="DM665" s="3"/>
      <c r="DN665" s="3"/>
      <c r="DO665" s="3"/>
      <c r="DP665" s="3"/>
      <c r="DQ665" s="3"/>
      <c r="DR665" s="3"/>
      <c r="DS665" s="3"/>
      <c r="DT665" s="3"/>
      <c r="DU665" s="3"/>
      <c r="DV665" s="3"/>
      <c r="DW665" s="3"/>
      <c r="DX665" s="3"/>
      <c r="DY665" s="3"/>
      <c r="DZ665" s="3"/>
      <c r="EA665" s="3"/>
      <c r="EB665" s="3"/>
      <c r="EC665" s="3"/>
      <c r="ED665" s="3"/>
      <c r="EE665" s="3"/>
      <c r="EF665" s="3"/>
      <c r="EG665" s="3"/>
      <c r="EH665" s="3"/>
      <c r="EI665" s="3"/>
      <c r="EJ665" s="3"/>
      <c r="EK665" s="3"/>
      <c r="EL665" s="3"/>
      <c r="EM665" s="3"/>
      <c r="EN665" s="3"/>
      <c r="EO665" s="3"/>
      <c r="EP665" s="3"/>
      <c r="EQ665" s="3"/>
      <c r="ER665" s="3"/>
      <c r="ES665" s="3"/>
      <c r="ET665" s="3"/>
      <c r="EU665" s="3"/>
      <c r="EV665" s="3"/>
      <c r="EW665" s="3"/>
      <c r="EX665" s="3"/>
      <c r="EY665" s="3"/>
      <c r="EZ665" s="3"/>
      <c r="FA665" s="3"/>
      <c r="FB665" s="3"/>
      <c r="FC665" s="3"/>
      <c r="FD665" s="3"/>
      <c r="FE665" s="3"/>
      <c r="FF665" s="3"/>
      <c r="FG665" s="3"/>
      <c r="FH665" s="3"/>
      <c r="FI665" s="3"/>
      <c r="FJ665" s="3"/>
      <c r="FK665" s="3"/>
      <c r="FL665" s="3"/>
      <c r="FM665" s="3"/>
      <c r="FN665" s="3"/>
      <c r="FO665" s="3"/>
      <c r="FP665" s="3"/>
      <c r="FQ665" s="3"/>
      <c r="FR665" s="3"/>
      <c r="FS665" s="3"/>
      <c r="FT665" s="3"/>
      <c r="FU665" s="3"/>
      <c r="FV665" s="3"/>
      <c r="FW665" s="3"/>
      <c r="FX665" s="3"/>
      <c r="FY665" s="3"/>
      <c r="FZ665" s="3"/>
      <c r="GA665" s="3"/>
      <c r="GB665" s="3"/>
      <c r="GC665" s="3"/>
      <c r="GD665" s="3"/>
      <c r="GE665" s="3"/>
      <c r="GF665" s="3"/>
      <c r="GG665" s="3"/>
      <c r="GH665" s="3"/>
      <c r="GI665" s="3"/>
      <c r="GJ665" s="3"/>
      <c r="GK665" s="3"/>
      <c r="GL665" s="3"/>
      <c r="GM665" s="3"/>
      <c r="GN665" s="3"/>
      <c r="GO665" s="3"/>
      <c r="GP665" s="3"/>
      <c r="GQ665" s="3"/>
      <c r="GR665" s="3"/>
      <c r="GS665" s="3"/>
      <c r="GT665" s="3"/>
      <c r="GU665" s="3"/>
      <c r="GV665" s="3"/>
      <c r="GW665" s="3"/>
      <c r="GX665" s="3">
        <v>0</v>
      </c>
    </row>
    <row r="667" spans="1:245" x14ac:dyDescent="0.2">
      <c r="A667" s="4">
        <v>50</v>
      </c>
      <c r="B667" s="4">
        <v>0</v>
      </c>
      <c r="C667" s="4">
        <v>0</v>
      </c>
      <c r="D667" s="4">
        <v>1</v>
      </c>
      <c r="E667" s="4">
        <v>201</v>
      </c>
      <c r="F667" s="4">
        <f>ROUND(Source!O665,O667)</f>
        <v>12974.55</v>
      </c>
      <c r="G667" s="4" t="s">
        <v>86</v>
      </c>
      <c r="H667" s="4" t="s">
        <v>87</v>
      </c>
      <c r="I667" s="4"/>
      <c r="J667" s="4"/>
      <c r="K667" s="4">
        <v>201</v>
      </c>
      <c r="L667" s="4">
        <v>1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8250.5</v>
      </c>
      <c r="X667" s="4">
        <v>1</v>
      </c>
      <c r="Y667" s="4">
        <v>8250.5</v>
      </c>
      <c r="Z667" s="4"/>
      <c r="AA667" s="4"/>
      <c r="AB667" s="4"/>
    </row>
    <row r="668" spans="1:245" x14ac:dyDescent="0.2">
      <c r="A668" s="4">
        <v>50</v>
      </c>
      <c r="B668" s="4">
        <v>0</v>
      </c>
      <c r="C668" s="4">
        <v>0</v>
      </c>
      <c r="D668" s="4">
        <v>1</v>
      </c>
      <c r="E668" s="4">
        <v>202</v>
      </c>
      <c r="F668" s="4">
        <f>ROUND(Source!P665,O668)</f>
        <v>8.4</v>
      </c>
      <c r="G668" s="4" t="s">
        <v>88</v>
      </c>
      <c r="H668" s="4" t="s">
        <v>89</v>
      </c>
      <c r="I668" s="4"/>
      <c r="J668" s="4"/>
      <c r="K668" s="4">
        <v>202</v>
      </c>
      <c r="L668" s="4">
        <v>2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4.7</v>
      </c>
      <c r="X668" s="4">
        <v>1</v>
      </c>
      <c r="Y668" s="4">
        <v>4.7</v>
      </c>
      <c r="Z668" s="4"/>
      <c r="AA668" s="4"/>
      <c r="AB668" s="4"/>
    </row>
    <row r="669" spans="1:245" x14ac:dyDescent="0.2">
      <c r="A669" s="4">
        <v>50</v>
      </c>
      <c r="B669" s="4">
        <v>0</v>
      </c>
      <c r="C669" s="4">
        <v>0</v>
      </c>
      <c r="D669" s="4">
        <v>1</v>
      </c>
      <c r="E669" s="4">
        <v>222</v>
      </c>
      <c r="F669" s="4">
        <f>ROUND(Source!AO665,O669)</f>
        <v>0</v>
      </c>
      <c r="G669" s="4" t="s">
        <v>90</v>
      </c>
      <c r="H669" s="4" t="s">
        <v>91</v>
      </c>
      <c r="I669" s="4"/>
      <c r="J669" s="4"/>
      <c r="K669" s="4">
        <v>222</v>
      </c>
      <c r="L669" s="4">
        <v>3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45" x14ac:dyDescent="0.2">
      <c r="A670" s="4">
        <v>50</v>
      </c>
      <c r="B670" s="4">
        <v>0</v>
      </c>
      <c r="C670" s="4">
        <v>0</v>
      </c>
      <c r="D670" s="4">
        <v>1</v>
      </c>
      <c r="E670" s="4">
        <v>225</v>
      </c>
      <c r="F670" s="4">
        <f>ROUND(Source!AV665,O670)</f>
        <v>8.4</v>
      </c>
      <c r="G670" s="4" t="s">
        <v>92</v>
      </c>
      <c r="H670" s="4" t="s">
        <v>93</v>
      </c>
      <c r="I670" s="4"/>
      <c r="J670" s="4"/>
      <c r="K670" s="4">
        <v>225</v>
      </c>
      <c r="L670" s="4">
        <v>4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4.7</v>
      </c>
      <c r="X670" s="4">
        <v>1</v>
      </c>
      <c r="Y670" s="4">
        <v>4.7</v>
      </c>
      <c r="Z670" s="4"/>
      <c r="AA670" s="4"/>
      <c r="AB670" s="4"/>
    </row>
    <row r="671" spans="1:245" x14ac:dyDescent="0.2">
      <c r="A671" s="4">
        <v>50</v>
      </c>
      <c r="B671" s="4">
        <v>0</v>
      </c>
      <c r="C671" s="4">
        <v>0</v>
      </c>
      <c r="D671" s="4">
        <v>1</v>
      </c>
      <c r="E671" s="4">
        <v>226</v>
      </c>
      <c r="F671" s="4">
        <f>ROUND(Source!AW665,O671)</f>
        <v>8.4</v>
      </c>
      <c r="G671" s="4" t="s">
        <v>94</v>
      </c>
      <c r="H671" s="4" t="s">
        <v>95</v>
      </c>
      <c r="I671" s="4"/>
      <c r="J671" s="4"/>
      <c r="K671" s="4">
        <v>226</v>
      </c>
      <c r="L671" s="4">
        <v>5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4.7</v>
      </c>
      <c r="X671" s="4">
        <v>1</v>
      </c>
      <c r="Y671" s="4">
        <v>4.7</v>
      </c>
      <c r="Z671" s="4"/>
      <c r="AA671" s="4"/>
      <c r="AB671" s="4"/>
    </row>
    <row r="672" spans="1:245" x14ac:dyDescent="0.2">
      <c r="A672" s="4">
        <v>50</v>
      </c>
      <c r="B672" s="4">
        <v>0</v>
      </c>
      <c r="C672" s="4">
        <v>0</v>
      </c>
      <c r="D672" s="4">
        <v>1</v>
      </c>
      <c r="E672" s="4">
        <v>227</v>
      </c>
      <c r="F672" s="4">
        <f>ROUND(Source!AX665,O672)</f>
        <v>0</v>
      </c>
      <c r="G672" s="4" t="s">
        <v>96</v>
      </c>
      <c r="H672" s="4" t="s">
        <v>97</v>
      </c>
      <c r="I672" s="4"/>
      <c r="J672" s="4"/>
      <c r="K672" s="4">
        <v>227</v>
      </c>
      <c r="L672" s="4">
        <v>6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228</v>
      </c>
      <c r="F673" s="4">
        <f>ROUND(Source!AY665,O673)</f>
        <v>8.4</v>
      </c>
      <c r="G673" s="4" t="s">
        <v>98</v>
      </c>
      <c r="H673" s="4" t="s">
        <v>99</v>
      </c>
      <c r="I673" s="4"/>
      <c r="J673" s="4"/>
      <c r="K673" s="4">
        <v>228</v>
      </c>
      <c r="L673" s="4">
        <v>7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4.7</v>
      </c>
      <c r="X673" s="4">
        <v>1</v>
      </c>
      <c r="Y673" s="4">
        <v>4.7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216</v>
      </c>
      <c r="F674" s="4">
        <f>ROUND(Source!AP665,O674)</f>
        <v>0</v>
      </c>
      <c r="G674" s="4" t="s">
        <v>100</v>
      </c>
      <c r="H674" s="4" t="s">
        <v>101</v>
      </c>
      <c r="I674" s="4"/>
      <c r="J674" s="4"/>
      <c r="K674" s="4">
        <v>216</v>
      </c>
      <c r="L674" s="4">
        <v>8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223</v>
      </c>
      <c r="F675" s="4">
        <f>ROUND(Source!AQ665,O675)</f>
        <v>0</v>
      </c>
      <c r="G675" s="4" t="s">
        <v>102</v>
      </c>
      <c r="H675" s="4" t="s">
        <v>103</v>
      </c>
      <c r="I675" s="4"/>
      <c r="J675" s="4"/>
      <c r="K675" s="4">
        <v>223</v>
      </c>
      <c r="L675" s="4">
        <v>9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229</v>
      </c>
      <c r="F676" s="4">
        <f>ROUND(Source!AZ665,O676)</f>
        <v>0</v>
      </c>
      <c r="G676" s="4" t="s">
        <v>104</v>
      </c>
      <c r="H676" s="4" t="s">
        <v>105</v>
      </c>
      <c r="I676" s="4"/>
      <c r="J676" s="4"/>
      <c r="K676" s="4">
        <v>229</v>
      </c>
      <c r="L676" s="4">
        <v>10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203</v>
      </c>
      <c r="F677" s="4">
        <f>ROUND(Source!Q665,O677)</f>
        <v>26.4</v>
      </c>
      <c r="G677" s="4" t="s">
        <v>106</v>
      </c>
      <c r="H677" s="4" t="s">
        <v>107</v>
      </c>
      <c r="I677" s="4"/>
      <c r="J677" s="4"/>
      <c r="K677" s="4">
        <v>203</v>
      </c>
      <c r="L677" s="4">
        <v>11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17.45</v>
      </c>
      <c r="X677" s="4">
        <v>1</v>
      </c>
      <c r="Y677" s="4">
        <v>17.45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231</v>
      </c>
      <c r="F678" s="4">
        <f>ROUND(Source!BB665,O678)</f>
        <v>0</v>
      </c>
      <c r="G678" s="4" t="s">
        <v>108</v>
      </c>
      <c r="H678" s="4" t="s">
        <v>109</v>
      </c>
      <c r="I678" s="4"/>
      <c r="J678" s="4"/>
      <c r="K678" s="4">
        <v>231</v>
      </c>
      <c r="L678" s="4">
        <v>12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204</v>
      </c>
      <c r="F679" s="4">
        <f>ROUND(Source!R665,O679)</f>
        <v>0.35</v>
      </c>
      <c r="G679" s="4" t="s">
        <v>110</v>
      </c>
      <c r="H679" s="4" t="s">
        <v>111</v>
      </c>
      <c r="I679" s="4"/>
      <c r="J679" s="4"/>
      <c r="K679" s="4">
        <v>204</v>
      </c>
      <c r="L679" s="4">
        <v>13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0.25</v>
      </c>
      <c r="X679" s="4">
        <v>1</v>
      </c>
      <c r="Y679" s="4">
        <v>0.25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205</v>
      </c>
      <c r="F680" s="4">
        <f>ROUND(Source!S665,O680)</f>
        <v>12939.75</v>
      </c>
      <c r="G680" s="4" t="s">
        <v>112</v>
      </c>
      <c r="H680" s="4" t="s">
        <v>113</v>
      </c>
      <c r="I680" s="4"/>
      <c r="J680" s="4"/>
      <c r="K680" s="4">
        <v>205</v>
      </c>
      <c r="L680" s="4">
        <v>14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8228.35</v>
      </c>
      <c r="X680" s="4">
        <v>1</v>
      </c>
      <c r="Y680" s="4">
        <v>8228.35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232</v>
      </c>
      <c r="F681" s="4">
        <f>ROUND(Source!BC665,O681)</f>
        <v>0</v>
      </c>
      <c r="G681" s="4" t="s">
        <v>114</v>
      </c>
      <c r="H681" s="4" t="s">
        <v>115</v>
      </c>
      <c r="I681" s="4"/>
      <c r="J681" s="4"/>
      <c r="K681" s="4">
        <v>232</v>
      </c>
      <c r="L681" s="4">
        <v>15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214</v>
      </c>
      <c r="F682" s="4">
        <f>ROUND(Source!AS665,O682)</f>
        <v>0</v>
      </c>
      <c r="G682" s="4" t="s">
        <v>116</v>
      </c>
      <c r="H682" s="4" t="s">
        <v>117</v>
      </c>
      <c r="I682" s="4"/>
      <c r="J682" s="4"/>
      <c r="K682" s="4">
        <v>214</v>
      </c>
      <c r="L682" s="4">
        <v>16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8" x14ac:dyDescent="0.2">
      <c r="A683" s="4">
        <v>50</v>
      </c>
      <c r="B683" s="4">
        <v>0</v>
      </c>
      <c r="C683" s="4">
        <v>0</v>
      </c>
      <c r="D683" s="4">
        <v>1</v>
      </c>
      <c r="E683" s="4">
        <v>215</v>
      </c>
      <c r="F683" s="4">
        <f>ROUND(Source!AT665,O683)</f>
        <v>0</v>
      </c>
      <c r="G683" s="4" t="s">
        <v>118</v>
      </c>
      <c r="H683" s="4" t="s">
        <v>119</v>
      </c>
      <c r="I683" s="4"/>
      <c r="J683" s="4"/>
      <c r="K683" s="4">
        <v>215</v>
      </c>
      <c r="L683" s="4">
        <v>17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8" x14ac:dyDescent="0.2">
      <c r="A684" s="4">
        <v>50</v>
      </c>
      <c r="B684" s="4">
        <v>0</v>
      </c>
      <c r="C684" s="4">
        <v>0</v>
      </c>
      <c r="D684" s="4">
        <v>1</v>
      </c>
      <c r="E684" s="4">
        <v>217</v>
      </c>
      <c r="F684" s="4">
        <f>ROUND(Source!AU665,O684)</f>
        <v>23326.74</v>
      </c>
      <c r="G684" s="4" t="s">
        <v>120</v>
      </c>
      <c r="H684" s="4" t="s">
        <v>121</v>
      </c>
      <c r="I684" s="4"/>
      <c r="J684" s="4"/>
      <c r="K684" s="4">
        <v>217</v>
      </c>
      <c r="L684" s="4">
        <v>18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14833.46</v>
      </c>
      <c r="X684" s="4">
        <v>1</v>
      </c>
      <c r="Y684" s="4">
        <v>14833.46</v>
      </c>
      <c r="Z684" s="4"/>
      <c r="AA684" s="4"/>
      <c r="AB684" s="4"/>
    </row>
    <row r="685" spans="1:28" x14ac:dyDescent="0.2">
      <c r="A685" s="4">
        <v>50</v>
      </c>
      <c r="B685" s="4">
        <v>0</v>
      </c>
      <c r="C685" s="4">
        <v>0</v>
      </c>
      <c r="D685" s="4">
        <v>1</v>
      </c>
      <c r="E685" s="4">
        <v>230</v>
      </c>
      <c r="F685" s="4">
        <f>ROUND(Source!BA665,O685)</f>
        <v>0</v>
      </c>
      <c r="G685" s="4" t="s">
        <v>122</v>
      </c>
      <c r="H685" s="4" t="s">
        <v>123</v>
      </c>
      <c r="I685" s="4"/>
      <c r="J685" s="4"/>
      <c r="K685" s="4">
        <v>230</v>
      </c>
      <c r="L685" s="4">
        <v>19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0</v>
      </c>
      <c r="X685" s="4">
        <v>1</v>
      </c>
      <c r="Y685" s="4">
        <v>0</v>
      </c>
      <c r="Z685" s="4"/>
      <c r="AA685" s="4"/>
      <c r="AB685" s="4"/>
    </row>
    <row r="686" spans="1:28" x14ac:dyDescent="0.2">
      <c r="A686" s="4">
        <v>50</v>
      </c>
      <c r="B686" s="4">
        <v>0</v>
      </c>
      <c r="C686" s="4">
        <v>0</v>
      </c>
      <c r="D686" s="4">
        <v>1</v>
      </c>
      <c r="E686" s="4">
        <v>206</v>
      </c>
      <c r="F686" s="4">
        <f>ROUND(Source!T665,O686)</f>
        <v>0</v>
      </c>
      <c r="G686" s="4" t="s">
        <v>124</v>
      </c>
      <c r="H686" s="4" t="s">
        <v>125</v>
      </c>
      <c r="I686" s="4"/>
      <c r="J686" s="4"/>
      <c r="K686" s="4">
        <v>206</v>
      </c>
      <c r="L686" s="4">
        <v>20</v>
      </c>
      <c r="M686" s="4">
        <v>3</v>
      </c>
      <c r="N686" s="4" t="s">
        <v>3</v>
      </c>
      <c r="O686" s="4">
        <v>2</v>
      </c>
      <c r="P686" s="4"/>
      <c r="Q686" s="4"/>
      <c r="R686" s="4"/>
      <c r="S686" s="4"/>
      <c r="T686" s="4"/>
      <c r="U686" s="4"/>
      <c r="V686" s="4"/>
      <c r="W686" s="4">
        <v>0</v>
      </c>
      <c r="X686" s="4">
        <v>1</v>
      </c>
      <c r="Y686" s="4">
        <v>0</v>
      </c>
      <c r="Z686" s="4"/>
      <c r="AA686" s="4"/>
      <c r="AB686" s="4"/>
    </row>
    <row r="687" spans="1:28" x14ac:dyDescent="0.2">
      <c r="A687" s="4">
        <v>50</v>
      </c>
      <c r="B687" s="4">
        <v>0</v>
      </c>
      <c r="C687" s="4">
        <v>0</v>
      </c>
      <c r="D687" s="4">
        <v>1</v>
      </c>
      <c r="E687" s="4">
        <v>207</v>
      </c>
      <c r="F687" s="4">
        <f>Source!U665</f>
        <v>19.5</v>
      </c>
      <c r="G687" s="4" t="s">
        <v>126</v>
      </c>
      <c r="H687" s="4" t="s">
        <v>127</v>
      </c>
      <c r="I687" s="4"/>
      <c r="J687" s="4"/>
      <c r="K687" s="4">
        <v>207</v>
      </c>
      <c r="L687" s="4">
        <v>21</v>
      </c>
      <c r="M687" s="4">
        <v>3</v>
      </c>
      <c r="N687" s="4" t="s">
        <v>3</v>
      </c>
      <c r="O687" s="4">
        <v>-1</v>
      </c>
      <c r="P687" s="4"/>
      <c r="Q687" s="4"/>
      <c r="R687" s="4"/>
      <c r="S687" s="4"/>
      <c r="T687" s="4"/>
      <c r="U687" s="4"/>
      <c r="V687" s="4"/>
      <c r="W687" s="4">
        <v>12.4</v>
      </c>
      <c r="X687" s="4">
        <v>1</v>
      </c>
      <c r="Y687" s="4">
        <v>12.4</v>
      </c>
      <c r="Z687" s="4"/>
      <c r="AA687" s="4"/>
      <c r="AB687" s="4"/>
    </row>
    <row r="688" spans="1:28" x14ac:dyDescent="0.2">
      <c r="A688" s="4">
        <v>50</v>
      </c>
      <c r="B688" s="4">
        <v>0</v>
      </c>
      <c r="C688" s="4">
        <v>0</v>
      </c>
      <c r="D688" s="4">
        <v>1</v>
      </c>
      <c r="E688" s="4">
        <v>208</v>
      </c>
      <c r="F688" s="4">
        <f>Source!V665</f>
        <v>0</v>
      </c>
      <c r="G688" s="4" t="s">
        <v>128</v>
      </c>
      <c r="H688" s="4" t="s">
        <v>129</v>
      </c>
      <c r="I688" s="4"/>
      <c r="J688" s="4"/>
      <c r="K688" s="4">
        <v>208</v>
      </c>
      <c r="L688" s="4">
        <v>22</v>
      </c>
      <c r="M688" s="4">
        <v>3</v>
      </c>
      <c r="N688" s="4" t="s">
        <v>3</v>
      </c>
      <c r="O688" s="4">
        <v>-1</v>
      </c>
      <c r="P688" s="4"/>
      <c r="Q688" s="4"/>
      <c r="R688" s="4"/>
      <c r="S688" s="4"/>
      <c r="T688" s="4"/>
      <c r="U688" s="4"/>
      <c r="V688" s="4"/>
      <c r="W688" s="4">
        <v>0</v>
      </c>
      <c r="X688" s="4">
        <v>1</v>
      </c>
      <c r="Y688" s="4">
        <v>0</v>
      </c>
      <c r="Z688" s="4"/>
      <c r="AA688" s="4"/>
      <c r="AB688" s="4"/>
    </row>
    <row r="689" spans="1:245" x14ac:dyDescent="0.2">
      <c r="A689" s="4">
        <v>50</v>
      </c>
      <c r="B689" s="4">
        <v>0</v>
      </c>
      <c r="C689" s="4">
        <v>0</v>
      </c>
      <c r="D689" s="4">
        <v>1</v>
      </c>
      <c r="E689" s="4">
        <v>209</v>
      </c>
      <c r="F689" s="4">
        <f>ROUND(Source!W665,O689)</f>
        <v>0</v>
      </c>
      <c r="G689" s="4" t="s">
        <v>130</v>
      </c>
      <c r="H689" s="4" t="s">
        <v>131</v>
      </c>
      <c r="I689" s="4"/>
      <c r="J689" s="4"/>
      <c r="K689" s="4">
        <v>209</v>
      </c>
      <c r="L689" s="4">
        <v>23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45" x14ac:dyDescent="0.2">
      <c r="A690" s="4">
        <v>50</v>
      </c>
      <c r="B690" s="4">
        <v>0</v>
      </c>
      <c r="C690" s="4">
        <v>0</v>
      </c>
      <c r="D690" s="4">
        <v>1</v>
      </c>
      <c r="E690" s="4">
        <v>233</v>
      </c>
      <c r="F690" s="4">
        <f>ROUND(Source!BD665,O690)</f>
        <v>0</v>
      </c>
      <c r="G690" s="4" t="s">
        <v>132</v>
      </c>
      <c r="H690" s="4" t="s">
        <v>133</v>
      </c>
      <c r="I690" s="4"/>
      <c r="J690" s="4"/>
      <c r="K690" s="4">
        <v>233</v>
      </c>
      <c r="L690" s="4">
        <v>24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45" x14ac:dyDescent="0.2">
      <c r="A691" s="4">
        <v>50</v>
      </c>
      <c r="B691" s="4">
        <v>0</v>
      </c>
      <c r="C691" s="4">
        <v>0</v>
      </c>
      <c r="D691" s="4">
        <v>1</v>
      </c>
      <c r="E691" s="4">
        <v>210</v>
      </c>
      <c r="F691" s="4">
        <f>ROUND(Source!X665,O691)</f>
        <v>9057.83</v>
      </c>
      <c r="G691" s="4" t="s">
        <v>134</v>
      </c>
      <c r="H691" s="4" t="s">
        <v>135</v>
      </c>
      <c r="I691" s="4"/>
      <c r="J691" s="4"/>
      <c r="K691" s="4">
        <v>210</v>
      </c>
      <c r="L691" s="4">
        <v>25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5759.85</v>
      </c>
      <c r="X691" s="4">
        <v>1</v>
      </c>
      <c r="Y691" s="4">
        <v>5759.85</v>
      </c>
      <c r="Z691" s="4"/>
      <c r="AA691" s="4"/>
      <c r="AB691" s="4"/>
    </row>
    <row r="692" spans="1:245" x14ac:dyDescent="0.2">
      <c r="A692" s="4">
        <v>50</v>
      </c>
      <c r="B692" s="4">
        <v>0</v>
      </c>
      <c r="C692" s="4">
        <v>0</v>
      </c>
      <c r="D692" s="4">
        <v>1</v>
      </c>
      <c r="E692" s="4">
        <v>211</v>
      </c>
      <c r="F692" s="4">
        <f>ROUND(Source!Y665,O692)</f>
        <v>1293.98</v>
      </c>
      <c r="G692" s="4" t="s">
        <v>136</v>
      </c>
      <c r="H692" s="4" t="s">
        <v>137</v>
      </c>
      <c r="I692" s="4"/>
      <c r="J692" s="4"/>
      <c r="K692" s="4">
        <v>211</v>
      </c>
      <c r="L692" s="4">
        <v>26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822.84</v>
      </c>
      <c r="X692" s="4">
        <v>1</v>
      </c>
      <c r="Y692" s="4">
        <v>822.84</v>
      </c>
      <c r="Z692" s="4"/>
      <c r="AA692" s="4"/>
      <c r="AB692" s="4"/>
    </row>
    <row r="693" spans="1:245" x14ac:dyDescent="0.2">
      <c r="A693" s="4">
        <v>50</v>
      </c>
      <c r="B693" s="4">
        <v>0</v>
      </c>
      <c r="C693" s="4">
        <v>0</v>
      </c>
      <c r="D693" s="4">
        <v>1</v>
      </c>
      <c r="E693" s="4">
        <v>224</v>
      </c>
      <c r="F693" s="4">
        <f>ROUND(Source!AR665,O693)</f>
        <v>23326.74</v>
      </c>
      <c r="G693" s="4" t="s">
        <v>138</v>
      </c>
      <c r="H693" s="4" t="s">
        <v>139</v>
      </c>
      <c r="I693" s="4"/>
      <c r="J693" s="4"/>
      <c r="K693" s="4">
        <v>224</v>
      </c>
      <c r="L693" s="4">
        <v>27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14833.46</v>
      </c>
      <c r="X693" s="4">
        <v>1</v>
      </c>
      <c r="Y693" s="4">
        <v>14833.46</v>
      </c>
      <c r="Z693" s="4"/>
      <c r="AA693" s="4"/>
      <c r="AB693" s="4"/>
    </row>
    <row r="695" spans="1:245" x14ac:dyDescent="0.2">
      <c r="A695" s="1">
        <v>5</v>
      </c>
      <c r="B695" s="1">
        <v>1</v>
      </c>
      <c r="C695" s="1"/>
      <c r="D695" s="1">
        <f>ROW(A727)</f>
        <v>727</v>
      </c>
      <c r="E695" s="1"/>
      <c r="F695" s="1" t="s">
        <v>14</v>
      </c>
      <c r="G695" s="1" t="s">
        <v>259</v>
      </c>
      <c r="H695" s="1" t="s">
        <v>3</v>
      </c>
      <c r="I695" s="1">
        <v>0</v>
      </c>
      <c r="J695" s="1"/>
      <c r="K695" s="1">
        <v>-1</v>
      </c>
      <c r="L695" s="1"/>
      <c r="M695" s="1" t="s">
        <v>3</v>
      </c>
      <c r="N695" s="1"/>
      <c r="O695" s="1"/>
      <c r="P695" s="1"/>
      <c r="Q695" s="1"/>
      <c r="R695" s="1"/>
      <c r="S695" s="1">
        <v>0</v>
      </c>
      <c r="T695" s="1"/>
      <c r="U695" s="1" t="s">
        <v>3</v>
      </c>
      <c r="V695" s="1">
        <v>0</v>
      </c>
      <c r="W695" s="1"/>
      <c r="X695" s="1"/>
      <c r="Y695" s="1"/>
      <c r="Z695" s="1"/>
      <c r="AA695" s="1"/>
      <c r="AB695" s="1" t="s">
        <v>3</v>
      </c>
      <c r="AC695" s="1" t="s">
        <v>3</v>
      </c>
      <c r="AD695" s="1" t="s">
        <v>3</v>
      </c>
      <c r="AE695" s="1" t="s">
        <v>3</v>
      </c>
      <c r="AF695" s="1" t="s">
        <v>3</v>
      </c>
      <c r="AG695" s="1" t="s">
        <v>3</v>
      </c>
      <c r="AH695" s="1"/>
      <c r="AI695" s="1"/>
      <c r="AJ695" s="1"/>
      <c r="AK695" s="1"/>
      <c r="AL695" s="1"/>
      <c r="AM695" s="1"/>
      <c r="AN695" s="1"/>
      <c r="AO695" s="1"/>
      <c r="AP695" s="1" t="s">
        <v>3</v>
      </c>
      <c r="AQ695" s="1" t="s">
        <v>3</v>
      </c>
      <c r="AR695" s="1" t="s">
        <v>3</v>
      </c>
      <c r="AS695" s="1"/>
      <c r="AT695" s="1"/>
      <c r="AU695" s="1"/>
      <c r="AV695" s="1"/>
      <c r="AW695" s="1"/>
      <c r="AX695" s="1"/>
      <c r="AY695" s="1"/>
      <c r="AZ695" s="1" t="s">
        <v>3</v>
      </c>
      <c r="BA695" s="1"/>
      <c r="BB695" s="1" t="s">
        <v>3</v>
      </c>
      <c r="BC695" s="1" t="s">
        <v>3</v>
      </c>
      <c r="BD695" s="1" t="s">
        <v>3</v>
      </c>
      <c r="BE695" s="1" t="s">
        <v>3</v>
      </c>
      <c r="BF695" s="1" t="s">
        <v>3</v>
      </c>
      <c r="BG695" s="1" t="s">
        <v>3</v>
      </c>
      <c r="BH695" s="1" t="s">
        <v>3</v>
      </c>
      <c r="BI695" s="1" t="s">
        <v>3</v>
      </c>
      <c r="BJ695" s="1" t="s">
        <v>3</v>
      </c>
      <c r="BK695" s="1" t="s">
        <v>3</v>
      </c>
      <c r="BL695" s="1" t="s">
        <v>3</v>
      </c>
      <c r="BM695" s="1" t="s">
        <v>3</v>
      </c>
      <c r="BN695" s="1" t="s">
        <v>3</v>
      </c>
      <c r="BO695" s="1" t="s">
        <v>3</v>
      </c>
      <c r="BP695" s="1" t="s">
        <v>3</v>
      </c>
      <c r="BQ695" s="1"/>
      <c r="BR695" s="1"/>
      <c r="BS695" s="1"/>
      <c r="BT695" s="1"/>
      <c r="BU695" s="1"/>
      <c r="BV695" s="1"/>
      <c r="BW695" s="1"/>
      <c r="BX695" s="1">
        <v>0</v>
      </c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>
        <v>0</v>
      </c>
    </row>
    <row r="697" spans="1:245" x14ac:dyDescent="0.2">
      <c r="A697" s="2">
        <v>52</v>
      </c>
      <c r="B697" s="2">
        <f t="shared" ref="B697:G697" si="532">B727</f>
        <v>1</v>
      </c>
      <c r="C697" s="2">
        <f t="shared" si="532"/>
        <v>5</v>
      </c>
      <c r="D697" s="2">
        <f t="shared" si="532"/>
        <v>695</v>
      </c>
      <c r="E697" s="2">
        <f t="shared" si="532"/>
        <v>0</v>
      </c>
      <c r="F697" s="2" t="str">
        <f t="shared" si="532"/>
        <v>Новый подраздел</v>
      </c>
      <c r="G697" s="2" t="str">
        <f t="shared" si="532"/>
        <v>Электрооборудование</v>
      </c>
      <c r="H697" s="2"/>
      <c r="I697" s="2"/>
      <c r="J697" s="2"/>
      <c r="K697" s="2"/>
      <c r="L697" s="2"/>
      <c r="M697" s="2"/>
      <c r="N697" s="2"/>
      <c r="O697" s="2">
        <f t="shared" ref="O697:AT697" si="533">O727</f>
        <v>97191.360000000001</v>
      </c>
      <c r="P697" s="2">
        <f t="shared" si="533"/>
        <v>1158.1600000000001</v>
      </c>
      <c r="Q697" s="2">
        <f t="shared" si="533"/>
        <v>733.14</v>
      </c>
      <c r="R697" s="2">
        <f t="shared" si="533"/>
        <v>462.67</v>
      </c>
      <c r="S697" s="2">
        <f t="shared" si="533"/>
        <v>95300.06</v>
      </c>
      <c r="T697" s="2">
        <f t="shared" si="533"/>
        <v>0</v>
      </c>
      <c r="U697" s="2">
        <f t="shared" si="533"/>
        <v>156.84</v>
      </c>
      <c r="V697" s="2">
        <f t="shared" si="533"/>
        <v>0</v>
      </c>
      <c r="W697" s="2">
        <f t="shared" si="533"/>
        <v>0</v>
      </c>
      <c r="X697" s="2">
        <f t="shared" si="533"/>
        <v>66710.05</v>
      </c>
      <c r="Y697" s="2">
        <f t="shared" si="533"/>
        <v>9530.02</v>
      </c>
      <c r="Z697" s="2">
        <f t="shared" si="533"/>
        <v>0</v>
      </c>
      <c r="AA697" s="2">
        <f t="shared" si="533"/>
        <v>0</v>
      </c>
      <c r="AB697" s="2">
        <f t="shared" si="533"/>
        <v>97191.360000000001</v>
      </c>
      <c r="AC697" s="2">
        <f t="shared" si="533"/>
        <v>1158.1600000000001</v>
      </c>
      <c r="AD697" s="2">
        <f t="shared" si="533"/>
        <v>733.14</v>
      </c>
      <c r="AE697" s="2">
        <f t="shared" si="533"/>
        <v>462.67</v>
      </c>
      <c r="AF697" s="2">
        <f t="shared" si="533"/>
        <v>95300.06</v>
      </c>
      <c r="AG697" s="2">
        <f t="shared" si="533"/>
        <v>0</v>
      </c>
      <c r="AH697" s="2">
        <f t="shared" si="533"/>
        <v>156.84</v>
      </c>
      <c r="AI697" s="2">
        <f t="shared" si="533"/>
        <v>0</v>
      </c>
      <c r="AJ697" s="2">
        <f t="shared" si="533"/>
        <v>0</v>
      </c>
      <c r="AK697" s="2">
        <f t="shared" si="533"/>
        <v>66710.05</v>
      </c>
      <c r="AL697" s="2">
        <f t="shared" si="533"/>
        <v>9530.02</v>
      </c>
      <c r="AM697" s="2">
        <f t="shared" si="533"/>
        <v>0</v>
      </c>
      <c r="AN697" s="2">
        <f t="shared" si="533"/>
        <v>0</v>
      </c>
      <c r="AO697" s="2">
        <f t="shared" si="533"/>
        <v>0</v>
      </c>
      <c r="AP697" s="2">
        <f t="shared" si="533"/>
        <v>0</v>
      </c>
      <c r="AQ697" s="2">
        <f t="shared" si="533"/>
        <v>0</v>
      </c>
      <c r="AR697" s="2">
        <f t="shared" si="533"/>
        <v>173931.11</v>
      </c>
      <c r="AS697" s="2">
        <f t="shared" si="533"/>
        <v>0</v>
      </c>
      <c r="AT697" s="2">
        <f t="shared" si="533"/>
        <v>0</v>
      </c>
      <c r="AU697" s="2">
        <f t="shared" ref="AU697:BZ697" si="534">AU727</f>
        <v>173931.11</v>
      </c>
      <c r="AV697" s="2">
        <f t="shared" si="534"/>
        <v>1158.1600000000001</v>
      </c>
      <c r="AW697" s="2">
        <f t="shared" si="534"/>
        <v>1158.1600000000001</v>
      </c>
      <c r="AX697" s="2">
        <f t="shared" si="534"/>
        <v>0</v>
      </c>
      <c r="AY697" s="2">
        <f t="shared" si="534"/>
        <v>1158.1600000000001</v>
      </c>
      <c r="AZ697" s="2">
        <f t="shared" si="534"/>
        <v>0</v>
      </c>
      <c r="BA697" s="2">
        <f t="shared" si="534"/>
        <v>0</v>
      </c>
      <c r="BB697" s="2">
        <f t="shared" si="534"/>
        <v>0</v>
      </c>
      <c r="BC697" s="2">
        <f t="shared" si="534"/>
        <v>0</v>
      </c>
      <c r="BD697" s="2">
        <f t="shared" si="534"/>
        <v>0</v>
      </c>
      <c r="BE697" s="2">
        <f t="shared" si="534"/>
        <v>0</v>
      </c>
      <c r="BF697" s="2">
        <f t="shared" si="534"/>
        <v>0</v>
      </c>
      <c r="BG697" s="2">
        <f t="shared" si="534"/>
        <v>0</v>
      </c>
      <c r="BH697" s="2">
        <f t="shared" si="534"/>
        <v>0</v>
      </c>
      <c r="BI697" s="2">
        <f t="shared" si="534"/>
        <v>0</v>
      </c>
      <c r="BJ697" s="2">
        <f t="shared" si="534"/>
        <v>0</v>
      </c>
      <c r="BK697" s="2">
        <f t="shared" si="534"/>
        <v>0</v>
      </c>
      <c r="BL697" s="2">
        <f t="shared" si="534"/>
        <v>0</v>
      </c>
      <c r="BM697" s="2">
        <f t="shared" si="534"/>
        <v>0</v>
      </c>
      <c r="BN697" s="2">
        <f t="shared" si="534"/>
        <v>0</v>
      </c>
      <c r="BO697" s="2">
        <f t="shared" si="534"/>
        <v>0</v>
      </c>
      <c r="BP697" s="2">
        <f t="shared" si="534"/>
        <v>0</v>
      </c>
      <c r="BQ697" s="2">
        <f t="shared" si="534"/>
        <v>0</v>
      </c>
      <c r="BR697" s="2">
        <f t="shared" si="534"/>
        <v>0</v>
      </c>
      <c r="BS697" s="2">
        <f t="shared" si="534"/>
        <v>0</v>
      </c>
      <c r="BT697" s="2">
        <f t="shared" si="534"/>
        <v>0</v>
      </c>
      <c r="BU697" s="2">
        <f t="shared" si="534"/>
        <v>0</v>
      </c>
      <c r="BV697" s="2">
        <f t="shared" si="534"/>
        <v>0</v>
      </c>
      <c r="BW697" s="2">
        <f t="shared" si="534"/>
        <v>0</v>
      </c>
      <c r="BX697" s="2">
        <f t="shared" si="534"/>
        <v>0</v>
      </c>
      <c r="BY697" s="2">
        <f t="shared" si="534"/>
        <v>0</v>
      </c>
      <c r="BZ697" s="2">
        <f t="shared" si="534"/>
        <v>0</v>
      </c>
      <c r="CA697" s="2">
        <f t="shared" ref="CA697:DF697" si="535">CA727</f>
        <v>173931.11</v>
      </c>
      <c r="CB697" s="2">
        <f t="shared" si="535"/>
        <v>0</v>
      </c>
      <c r="CC697" s="2">
        <f t="shared" si="535"/>
        <v>0</v>
      </c>
      <c r="CD697" s="2">
        <f t="shared" si="535"/>
        <v>173931.11</v>
      </c>
      <c r="CE697" s="2">
        <f t="shared" si="535"/>
        <v>1158.1600000000001</v>
      </c>
      <c r="CF697" s="2">
        <f t="shared" si="535"/>
        <v>1158.1600000000001</v>
      </c>
      <c r="CG697" s="2">
        <f t="shared" si="535"/>
        <v>0</v>
      </c>
      <c r="CH697" s="2">
        <f t="shared" si="535"/>
        <v>1158.1600000000001</v>
      </c>
      <c r="CI697" s="2">
        <f t="shared" si="535"/>
        <v>0</v>
      </c>
      <c r="CJ697" s="2">
        <f t="shared" si="535"/>
        <v>0</v>
      </c>
      <c r="CK697" s="2">
        <f t="shared" si="535"/>
        <v>0</v>
      </c>
      <c r="CL697" s="2">
        <f t="shared" si="535"/>
        <v>0</v>
      </c>
      <c r="CM697" s="2">
        <f t="shared" si="535"/>
        <v>0</v>
      </c>
      <c r="CN697" s="2">
        <f t="shared" si="535"/>
        <v>0</v>
      </c>
      <c r="CO697" s="2">
        <f t="shared" si="535"/>
        <v>0</v>
      </c>
      <c r="CP697" s="2">
        <f t="shared" si="535"/>
        <v>0</v>
      </c>
      <c r="CQ697" s="2">
        <f t="shared" si="535"/>
        <v>0</v>
      </c>
      <c r="CR697" s="2">
        <f t="shared" si="535"/>
        <v>0</v>
      </c>
      <c r="CS697" s="2">
        <f t="shared" si="535"/>
        <v>0</v>
      </c>
      <c r="CT697" s="2">
        <f t="shared" si="535"/>
        <v>0</v>
      </c>
      <c r="CU697" s="2">
        <f t="shared" si="535"/>
        <v>0</v>
      </c>
      <c r="CV697" s="2">
        <f t="shared" si="535"/>
        <v>0</v>
      </c>
      <c r="CW697" s="2">
        <f t="shared" si="535"/>
        <v>0</v>
      </c>
      <c r="CX697" s="2">
        <f t="shared" si="535"/>
        <v>0</v>
      </c>
      <c r="CY697" s="2">
        <f t="shared" si="535"/>
        <v>0</v>
      </c>
      <c r="CZ697" s="2">
        <f t="shared" si="535"/>
        <v>0</v>
      </c>
      <c r="DA697" s="2">
        <f t="shared" si="535"/>
        <v>0</v>
      </c>
      <c r="DB697" s="2">
        <f t="shared" si="535"/>
        <v>0</v>
      </c>
      <c r="DC697" s="2">
        <f t="shared" si="535"/>
        <v>0</v>
      </c>
      <c r="DD697" s="2">
        <f t="shared" si="535"/>
        <v>0</v>
      </c>
      <c r="DE697" s="2">
        <f t="shared" si="535"/>
        <v>0</v>
      </c>
      <c r="DF697" s="2">
        <f t="shared" si="535"/>
        <v>0</v>
      </c>
      <c r="DG697" s="3">
        <f t="shared" ref="DG697:EL697" si="536">DG727</f>
        <v>0</v>
      </c>
      <c r="DH697" s="3">
        <f t="shared" si="536"/>
        <v>0</v>
      </c>
      <c r="DI697" s="3">
        <f t="shared" si="536"/>
        <v>0</v>
      </c>
      <c r="DJ697" s="3">
        <f t="shared" si="536"/>
        <v>0</v>
      </c>
      <c r="DK697" s="3">
        <f t="shared" si="536"/>
        <v>0</v>
      </c>
      <c r="DL697" s="3">
        <f t="shared" si="536"/>
        <v>0</v>
      </c>
      <c r="DM697" s="3">
        <f t="shared" si="536"/>
        <v>0</v>
      </c>
      <c r="DN697" s="3">
        <f t="shared" si="536"/>
        <v>0</v>
      </c>
      <c r="DO697" s="3">
        <f t="shared" si="536"/>
        <v>0</v>
      </c>
      <c r="DP697" s="3">
        <f t="shared" si="536"/>
        <v>0</v>
      </c>
      <c r="DQ697" s="3">
        <f t="shared" si="536"/>
        <v>0</v>
      </c>
      <c r="DR697" s="3">
        <f t="shared" si="536"/>
        <v>0</v>
      </c>
      <c r="DS697" s="3">
        <f t="shared" si="536"/>
        <v>0</v>
      </c>
      <c r="DT697" s="3">
        <f t="shared" si="536"/>
        <v>0</v>
      </c>
      <c r="DU697" s="3">
        <f t="shared" si="536"/>
        <v>0</v>
      </c>
      <c r="DV697" s="3">
        <f t="shared" si="536"/>
        <v>0</v>
      </c>
      <c r="DW697" s="3">
        <f t="shared" si="536"/>
        <v>0</v>
      </c>
      <c r="DX697" s="3">
        <f t="shared" si="536"/>
        <v>0</v>
      </c>
      <c r="DY697" s="3">
        <f t="shared" si="536"/>
        <v>0</v>
      </c>
      <c r="DZ697" s="3">
        <f t="shared" si="536"/>
        <v>0</v>
      </c>
      <c r="EA697" s="3">
        <f t="shared" si="536"/>
        <v>0</v>
      </c>
      <c r="EB697" s="3">
        <f t="shared" si="536"/>
        <v>0</v>
      </c>
      <c r="EC697" s="3">
        <f t="shared" si="536"/>
        <v>0</v>
      </c>
      <c r="ED697" s="3">
        <f t="shared" si="536"/>
        <v>0</v>
      </c>
      <c r="EE697" s="3">
        <f t="shared" si="536"/>
        <v>0</v>
      </c>
      <c r="EF697" s="3">
        <f t="shared" si="536"/>
        <v>0</v>
      </c>
      <c r="EG697" s="3">
        <f t="shared" si="536"/>
        <v>0</v>
      </c>
      <c r="EH697" s="3">
        <f t="shared" si="536"/>
        <v>0</v>
      </c>
      <c r="EI697" s="3">
        <f t="shared" si="536"/>
        <v>0</v>
      </c>
      <c r="EJ697" s="3">
        <f t="shared" si="536"/>
        <v>0</v>
      </c>
      <c r="EK697" s="3">
        <f t="shared" si="536"/>
        <v>0</v>
      </c>
      <c r="EL697" s="3">
        <f t="shared" si="536"/>
        <v>0</v>
      </c>
      <c r="EM697" s="3">
        <f t="shared" ref="EM697:FR697" si="537">EM727</f>
        <v>0</v>
      </c>
      <c r="EN697" s="3">
        <f t="shared" si="537"/>
        <v>0</v>
      </c>
      <c r="EO697" s="3">
        <f t="shared" si="537"/>
        <v>0</v>
      </c>
      <c r="EP697" s="3">
        <f t="shared" si="537"/>
        <v>0</v>
      </c>
      <c r="EQ697" s="3">
        <f t="shared" si="537"/>
        <v>0</v>
      </c>
      <c r="ER697" s="3">
        <f t="shared" si="537"/>
        <v>0</v>
      </c>
      <c r="ES697" s="3">
        <f t="shared" si="537"/>
        <v>0</v>
      </c>
      <c r="ET697" s="3">
        <f t="shared" si="537"/>
        <v>0</v>
      </c>
      <c r="EU697" s="3">
        <f t="shared" si="537"/>
        <v>0</v>
      </c>
      <c r="EV697" s="3">
        <f t="shared" si="537"/>
        <v>0</v>
      </c>
      <c r="EW697" s="3">
        <f t="shared" si="537"/>
        <v>0</v>
      </c>
      <c r="EX697" s="3">
        <f t="shared" si="537"/>
        <v>0</v>
      </c>
      <c r="EY697" s="3">
        <f t="shared" si="537"/>
        <v>0</v>
      </c>
      <c r="EZ697" s="3">
        <f t="shared" si="537"/>
        <v>0</v>
      </c>
      <c r="FA697" s="3">
        <f t="shared" si="537"/>
        <v>0</v>
      </c>
      <c r="FB697" s="3">
        <f t="shared" si="537"/>
        <v>0</v>
      </c>
      <c r="FC697" s="3">
        <f t="shared" si="537"/>
        <v>0</v>
      </c>
      <c r="FD697" s="3">
        <f t="shared" si="537"/>
        <v>0</v>
      </c>
      <c r="FE697" s="3">
        <f t="shared" si="537"/>
        <v>0</v>
      </c>
      <c r="FF697" s="3">
        <f t="shared" si="537"/>
        <v>0</v>
      </c>
      <c r="FG697" s="3">
        <f t="shared" si="537"/>
        <v>0</v>
      </c>
      <c r="FH697" s="3">
        <f t="shared" si="537"/>
        <v>0</v>
      </c>
      <c r="FI697" s="3">
        <f t="shared" si="537"/>
        <v>0</v>
      </c>
      <c r="FJ697" s="3">
        <f t="shared" si="537"/>
        <v>0</v>
      </c>
      <c r="FK697" s="3">
        <f t="shared" si="537"/>
        <v>0</v>
      </c>
      <c r="FL697" s="3">
        <f t="shared" si="537"/>
        <v>0</v>
      </c>
      <c r="FM697" s="3">
        <f t="shared" si="537"/>
        <v>0</v>
      </c>
      <c r="FN697" s="3">
        <f t="shared" si="537"/>
        <v>0</v>
      </c>
      <c r="FO697" s="3">
        <f t="shared" si="537"/>
        <v>0</v>
      </c>
      <c r="FP697" s="3">
        <f t="shared" si="537"/>
        <v>0</v>
      </c>
      <c r="FQ697" s="3">
        <f t="shared" si="537"/>
        <v>0</v>
      </c>
      <c r="FR697" s="3">
        <f t="shared" si="537"/>
        <v>0</v>
      </c>
      <c r="FS697" s="3">
        <f t="shared" ref="FS697:GX697" si="538">FS727</f>
        <v>0</v>
      </c>
      <c r="FT697" s="3">
        <f t="shared" si="538"/>
        <v>0</v>
      </c>
      <c r="FU697" s="3">
        <f t="shared" si="538"/>
        <v>0</v>
      </c>
      <c r="FV697" s="3">
        <f t="shared" si="538"/>
        <v>0</v>
      </c>
      <c r="FW697" s="3">
        <f t="shared" si="538"/>
        <v>0</v>
      </c>
      <c r="FX697" s="3">
        <f t="shared" si="538"/>
        <v>0</v>
      </c>
      <c r="FY697" s="3">
        <f t="shared" si="538"/>
        <v>0</v>
      </c>
      <c r="FZ697" s="3">
        <f t="shared" si="538"/>
        <v>0</v>
      </c>
      <c r="GA697" s="3">
        <f t="shared" si="538"/>
        <v>0</v>
      </c>
      <c r="GB697" s="3">
        <f t="shared" si="538"/>
        <v>0</v>
      </c>
      <c r="GC697" s="3">
        <f t="shared" si="538"/>
        <v>0</v>
      </c>
      <c r="GD697" s="3">
        <f t="shared" si="538"/>
        <v>0</v>
      </c>
      <c r="GE697" s="3">
        <f t="shared" si="538"/>
        <v>0</v>
      </c>
      <c r="GF697" s="3">
        <f t="shared" si="538"/>
        <v>0</v>
      </c>
      <c r="GG697" s="3">
        <f t="shared" si="538"/>
        <v>0</v>
      </c>
      <c r="GH697" s="3">
        <f t="shared" si="538"/>
        <v>0</v>
      </c>
      <c r="GI697" s="3">
        <f t="shared" si="538"/>
        <v>0</v>
      </c>
      <c r="GJ697" s="3">
        <f t="shared" si="538"/>
        <v>0</v>
      </c>
      <c r="GK697" s="3">
        <f t="shared" si="538"/>
        <v>0</v>
      </c>
      <c r="GL697" s="3">
        <f t="shared" si="538"/>
        <v>0</v>
      </c>
      <c r="GM697" s="3">
        <f t="shared" si="538"/>
        <v>0</v>
      </c>
      <c r="GN697" s="3">
        <f t="shared" si="538"/>
        <v>0</v>
      </c>
      <c r="GO697" s="3">
        <f t="shared" si="538"/>
        <v>0</v>
      </c>
      <c r="GP697" s="3">
        <f t="shared" si="538"/>
        <v>0</v>
      </c>
      <c r="GQ697" s="3">
        <f t="shared" si="538"/>
        <v>0</v>
      </c>
      <c r="GR697" s="3">
        <f t="shared" si="538"/>
        <v>0</v>
      </c>
      <c r="GS697" s="3">
        <f t="shared" si="538"/>
        <v>0</v>
      </c>
      <c r="GT697" s="3">
        <f t="shared" si="538"/>
        <v>0</v>
      </c>
      <c r="GU697" s="3">
        <f t="shared" si="538"/>
        <v>0</v>
      </c>
      <c r="GV697" s="3">
        <f t="shared" si="538"/>
        <v>0</v>
      </c>
      <c r="GW697" s="3">
        <f t="shared" si="538"/>
        <v>0</v>
      </c>
      <c r="GX697" s="3">
        <f t="shared" si="538"/>
        <v>0</v>
      </c>
    </row>
    <row r="699" spans="1:245" x14ac:dyDescent="0.2">
      <c r="A699">
        <v>17</v>
      </c>
      <c r="B699">
        <v>1</v>
      </c>
      <c r="D699">
        <f>ROW(EtalonRes!A415)</f>
        <v>415</v>
      </c>
      <c r="E699" t="s">
        <v>333</v>
      </c>
      <c r="F699" t="s">
        <v>169</v>
      </c>
      <c r="G699" t="s">
        <v>170</v>
      </c>
      <c r="H699" t="s">
        <v>39</v>
      </c>
      <c r="I699">
        <v>5</v>
      </c>
      <c r="J699">
        <v>0</v>
      </c>
      <c r="K699">
        <v>5</v>
      </c>
      <c r="O699">
        <f t="shared" ref="O699:O725" si="539">ROUND(CP699,2)</f>
        <v>75126.45</v>
      </c>
      <c r="P699">
        <f t="shared" ref="P699:P725" si="540">ROUND(CQ699*I699,2)</f>
        <v>1027.6500000000001</v>
      </c>
      <c r="Q699">
        <f t="shared" ref="Q699:Q725" si="541">ROUND(CR699*I699,2)</f>
        <v>0</v>
      </c>
      <c r="R699">
        <f t="shared" ref="R699:R725" si="542">ROUND(CS699*I699,2)</f>
        <v>0</v>
      </c>
      <c r="S699">
        <f t="shared" ref="S699:S725" si="543">ROUND(CT699*I699,2)</f>
        <v>74098.8</v>
      </c>
      <c r="T699">
        <f t="shared" ref="T699:T725" si="544">ROUND(CU699*I699,2)</f>
        <v>0</v>
      </c>
      <c r="U699">
        <f t="shared" ref="U699:U725" si="545">CV699*I699</f>
        <v>120</v>
      </c>
      <c r="V699">
        <f t="shared" ref="V699:V725" si="546">CW699*I699</f>
        <v>0</v>
      </c>
      <c r="W699">
        <f t="shared" ref="W699:W725" si="547">ROUND(CX699*I699,2)</f>
        <v>0</v>
      </c>
      <c r="X699">
        <f t="shared" ref="X699:X725" si="548">ROUND(CY699,2)</f>
        <v>51869.16</v>
      </c>
      <c r="Y699">
        <f t="shared" ref="Y699:Y725" si="549">ROUND(CZ699,2)</f>
        <v>7409.88</v>
      </c>
      <c r="AA699">
        <v>1471531721</v>
      </c>
      <c r="AB699">
        <f t="shared" ref="AB699:AB725" si="550">ROUND((AC699+AD699+AF699),6)</f>
        <v>15025.29</v>
      </c>
      <c r="AC699">
        <f>ROUND((ES699),6)</f>
        <v>205.53</v>
      </c>
      <c r="AD699">
        <f>ROUND((((ET699)-(EU699))+AE699),6)</f>
        <v>0</v>
      </c>
      <c r="AE699">
        <f>ROUND((EU699),6)</f>
        <v>0</v>
      </c>
      <c r="AF699">
        <f>ROUND((EV699),6)</f>
        <v>14819.76</v>
      </c>
      <c r="AG699">
        <f t="shared" ref="AG699:AG725" si="551">ROUND((AP699),6)</f>
        <v>0</v>
      </c>
      <c r="AH699">
        <f>(EW699)</f>
        <v>24</v>
      </c>
      <c r="AI699">
        <f>(EX699)</f>
        <v>0</v>
      </c>
      <c r="AJ699">
        <f t="shared" ref="AJ699:AJ725" si="552">(AS699)</f>
        <v>0</v>
      </c>
      <c r="AK699">
        <v>15025.29</v>
      </c>
      <c r="AL699">
        <v>205.53</v>
      </c>
      <c r="AM699">
        <v>0</v>
      </c>
      <c r="AN699">
        <v>0</v>
      </c>
      <c r="AO699">
        <v>14819.76</v>
      </c>
      <c r="AP699">
        <v>0</v>
      </c>
      <c r="AQ699">
        <v>24</v>
      </c>
      <c r="AR699">
        <v>0</v>
      </c>
      <c r="AS699">
        <v>0</v>
      </c>
      <c r="AT699">
        <v>70</v>
      </c>
      <c r="AU699">
        <v>10</v>
      </c>
      <c r="AV699">
        <v>1</v>
      </c>
      <c r="AW699">
        <v>1</v>
      </c>
      <c r="AZ699">
        <v>1</v>
      </c>
      <c r="BA699">
        <v>1</v>
      </c>
      <c r="BB699">
        <v>1</v>
      </c>
      <c r="BC699">
        <v>1</v>
      </c>
      <c r="BD699" t="s">
        <v>3</v>
      </c>
      <c r="BE699" t="s">
        <v>3</v>
      </c>
      <c r="BF699" t="s">
        <v>3</v>
      </c>
      <c r="BG699" t="s">
        <v>3</v>
      </c>
      <c r="BH699">
        <v>0</v>
      </c>
      <c r="BI699">
        <v>4</v>
      </c>
      <c r="BJ699" t="s">
        <v>171</v>
      </c>
      <c r="BM699">
        <v>0</v>
      </c>
      <c r="BN699">
        <v>0</v>
      </c>
      <c r="BO699" t="s">
        <v>3</v>
      </c>
      <c r="BP699">
        <v>0</v>
      </c>
      <c r="BQ699">
        <v>1</v>
      </c>
      <c r="BR699">
        <v>0</v>
      </c>
      <c r="BS699">
        <v>1</v>
      </c>
      <c r="BT699">
        <v>1</v>
      </c>
      <c r="BU699">
        <v>1</v>
      </c>
      <c r="BV699">
        <v>1</v>
      </c>
      <c r="BW699">
        <v>1</v>
      </c>
      <c r="BX699">
        <v>1</v>
      </c>
      <c r="BY699" t="s">
        <v>3</v>
      </c>
      <c r="BZ699">
        <v>70</v>
      </c>
      <c r="CA699">
        <v>10</v>
      </c>
      <c r="CB699" t="s">
        <v>3</v>
      </c>
      <c r="CE699">
        <v>0</v>
      </c>
      <c r="CF699">
        <v>0</v>
      </c>
      <c r="CG699">
        <v>0</v>
      </c>
      <c r="CM699">
        <v>0</v>
      </c>
      <c r="CN699" t="s">
        <v>3</v>
      </c>
      <c r="CO699">
        <v>0</v>
      </c>
      <c r="CP699">
        <f t="shared" ref="CP699:CP725" si="553">(P699+Q699+S699)</f>
        <v>75126.45</v>
      </c>
      <c r="CQ699">
        <f t="shared" ref="CQ699:CQ725" si="554">(AC699*BC699*AW699)</f>
        <v>205.53</v>
      </c>
      <c r="CR699">
        <f>((((ET699)*BB699-(EU699)*BS699)+AE699*BS699)*AV699)</f>
        <v>0</v>
      </c>
      <c r="CS699">
        <f t="shared" ref="CS699:CS725" si="555">(AE699*BS699*AV699)</f>
        <v>0</v>
      </c>
      <c r="CT699">
        <f t="shared" ref="CT699:CT725" si="556">(AF699*BA699*AV699)</f>
        <v>14819.76</v>
      </c>
      <c r="CU699">
        <f t="shared" ref="CU699:CU725" si="557">AG699</f>
        <v>0</v>
      </c>
      <c r="CV699">
        <f t="shared" ref="CV699:CV725" si="558">(AH699*AV699)</f>
        <v>24</v>
      </c>
      <c r="CW699">
        <f t="shared" ref="CW699:CW725" si="559">AI699</f>
        <v>0</v>
      </c>
      <c r="CX699">
        <f t="shared" ref="CX699:CX725" si="560">AJ699</f>
        <v>0</v>
      </c>
      <c r="CY699">
        <f t="shared" ref="CY699:CY725" si="561">((S699*BZ699)/100)</f>
        <v>51869.16</v>
      </c>
      <c r="CZ699">
        <f t="shared" ref="CZ699:CZ725" si="562">((S699*CA699)/100)</f>
        <v>7409.88</v>
      </c>
      <c r="DC699" t="s">
        <v>3</v>
      </c>
      <c r="DD699" t="s">
        <v>3</v>
      </c>
      <c r="DE699" t="s">
        <v>3</v>
      </c>
      <c r="DF699" t="s">
        <v>3</v>
      </c>
      <c r="DG699" t="s">
        <v>3</v>
      </c>
      <c r="DH699" t="s">
        <v>3</v>
      </c>
      <c r="DI699" t="s">
        <v>3</v>
      </c>
      <c r="DJ699" t="s">
        <v>3</v>
      </c>
      <c r="DK699" t="s">
        <v>3</v>
      </c>
      <c r="DL699" t="s">
        <v>3</v>
      </c>
      <c r="DM699" t="s">
        <v>3</v>
      </c>
      <c r="DN699">
        <v>0</v>
      </c>
      <c r="DO699">
        <v>0</v>
      </c>
      <c r="DP699">
        <v>1</v>
      </c>
      <c r="DQ699">
        <v>1</v>
      </c>
      <c r="DU699">
        <v>16987630</v>
      </c>
      <c r="DV699" t="s">
        <v>39</v>
      </c>
      <c r="DW699" t="s">
        <v>39</v>
      </c>
      <c r="DX699">
        <v>1</v>
      </c>
      <c r="DZ699" t="s">
        <v>3</v>
      </c>
      <c r="EA699" t="s">
        <v>3</v>
      </c>
      <c r="EB699" t="s">
        <v>3</v>
      </c>
      <c r="EC699" t="s">
        <v>3</v>
      </c>
      <c r="EE699">
        <v>1441815344</v>
      </c>
      <c r="EF699">
        <v>1</v>
      </c>
      <c r="EG699" t="s">
        <v>21</v>
      </c>
      <c r="EH699">
        <v>0</v>
      </c>
      <c r="EI699" t="s">
        <v>3</v>
      </c>
      <c r="EJ699">
        <v>4</v>
      </c>
      <c r="EK699">
        <v>0</v>
      </c>
      <c r="EL699" t="s">
        <v>22</v>
      </c>
      <c r="EM699" t="s">
        <v>23</v>
      </c>
      <c r="EO699" t="s">
        <v>3</v>
      </c>
      <c r="EQ699">
        <v>0</v>
      </c>
      <c r="ER699">
        <v>15025.29</v>
      </c>
      <c r="ES699">
        <v>205.53</v>
      </c>
      <c r="ET699">
        <v>0</v>
      </c>
      <c r="EU699">
        <v>0</v>
      </c>
      <c r="EV699">
        <v>14819.76</v>
      </c>
      <c r="EW699">
        <v>24</v>
      </c>
      <c r="EX699">
        <v>0</v>
      </c>
      <c r="EY699">
        <v>0</v>
      </c>
      <c r="FQ699">
        <v>0</v>
      </c>
      <c r="FR699">
        <f t="shared" ref="FR699:FR725" si="563">ROUND(IF(BI699=3,GM699,0),2)</f>
        <v>0</v>
      </c>
      <c r="FS699">
        <v>0</v>
      </c>
      <c r="FX699">
        <v>70</v>
      </c>
      <c r="FY699">
        <v>10</v>
      </c>
      <c r="GA699" t="s">
        <v>3</v>
      </c>
      <c r="GD699">
        <v>0</v>
      </c>
      <c r="GF699">
        <v>1432440124</v>
      </c>
      <c r="GG699">
        <v>2</v>
      </c>
      <c r="GH699">
        <v>1</v>
      </c>
      <c r="GI699">
        <v>-2</v>
      </c>
      <c r="GJ699">
        <v>0</v>
      </c>
      <c r="GK699">
        <f>ROUND(R699*(R12)/100,2)</f>
        <v>0</v>
      </c>
      <c r="GL699">
        <f t="shared" ref="GL699:GL725" si="564">ROUND(IF(AND(BH699=3,BI699=3,FS699&lt;&gt;0),P699,0),2)</f>
        <v>0</v>
      </c>
      <c r="GM699">
        <f t="shared" ref="GM699:GM725" si="565">ROUND(O699+X699+Y699+GK699,2)+GX699</f>
        <v>134405.49</v>
      </c>
      <c r="GN699">
        <f t="shared" ref="GN699:GN725" si="566">IF(OR(BI699=0,BI699=1),GM699-GX699,0)</f>
        <v>0</v>
      </c>
      <c r="GO699">
        <f t="shared" ref="GO699:GO725" si="567">IF(BI699=2,GM699-GX699,0)</f>
        <v>0</v>
      </c>
      <c r="GP699">
        <f t="shared" ref="GP699:GP725" si="568">IF(BI699=4,GM699-GX699,0)</f>
        <v>134405.49</v>
      </c>
      <c r="GR699">
        <v>0</v>
      </c>
      <c r="GS699">
        <v>3</v>
      </c>
      <c r="GT699">
        <v>0</v>
      </c>
      <c r="GU699" t="s">
        <v>3</v>
      </c>
      <c r="GV699">
        <f t="shared" ref="GV699:GV725" si="569">ROUND((GT699),6)</f>
        <v>0</v>
      </c>
      <c r="GW699">
        <v>1</v>
      </c>
      <c r="GX699">
        <f t="shared" ref="GX699:GX725" si="570">ROUND(HC699*I699,2)</f>
        <v>0</v>
      </c>
      <c r="HA699">
        <v>0</v>
      </c>
      <c r="HB699">
        <v>0</v>
      </c>
      <c r="HC699">
        <f t="shared" ref="HC699:HC725" si="571">GV699*GW699</f>
        <v>0</v>
      </c>
      <c r="HE699" t="s">
        <v>3</v>
      </c>
      <c r="HF699" t="s">
        <v>3</v>
      </c>
      <c r="HM699" t="s">
        <v>3</v>
      </c>
      <c r="HN699" t="s">
        <v>3</v>
      </c>
      <c r="HO699" t="s">
        <v>3</v>
      </c>
      <c r="HP699" t="s">
        <v>3</v>
      </c>
      <c r="HQ699" t="s">
        <v>3</v>
      </c>
      <c r="IK699">
        <v>0</v>
      </c>
    </row>
    <row r="700" spans="1:245" x14ac:dyDescent="0.2">
      <c r="A700">
        <v>17</v>
      </c>
      <c r="B700">
        <v>1</v>
      </c>
      <c r="D700">
        <f>ROW(EtalonRes!A417)</f>
        <v>417</v>
      </c>
      <c r="E700" t="s">
        <v>3</v>
      </c>
      <c r="F700" t="s">
        <v>172</v>
      </c>
      <c r="G700" t="s">
        <v>173</v>
      </c>
      <c r="H700" t="s">
        <v>39</v>
      </c>
      <c r="I700">
        <v>5</v>
      </c>
      <c r="J700">
        <v>0</v>
      </c>
      <c r="K700">
        <v>5</v>
      </c>
      <c r="O700">
        <f t="shared" si="539"/>
        <v>7420.95</v>
      </c>
      <c r="P700">
        <f t="shared" si="540"/>
        <v>11.1</v>
      </c>
      <c r="Q700">
        <f t="shared" si="541"/>
        <v>0</v>
      </c>
      <c r="R700">
        <f t="shared" si="542"/>
        <v>0</v>
      </c>
      <c r="S700">
        <f t="shared" si="543"/>
        <v>7409.85</v>
      </c>
      <c r="T700">
        <f t="shared" si="544"/>
        <v>0</v>
      </c>
      <c r="U700">
        <f t="shared" si="545"/>
        <v>12.000000000000002</v>
      </c>
      <c r="V700">
        <f t="shared" si="546"/>
        <v>0</v>
      </c>
      <c r="W700">
        <f t="shared" si="547"/>
        <v>0</v>
      </c>
      <c r="X700">
        <f t="shared" si="548"/>
        <v>5186.8999999999996</v>
      </c>
      <c r="Y700">
        <f t="shared" si="549"/>
        <v>740.99</v>
      </c>
      <c r="AA700">
        <v>-1</v>
      </c>
      <c r="AB700">
        <f t="shared" si="550"/>
        <v>1484.19</v>
      </c>
      <c r="AC700">
        <f>ROUND(((ES700*3)),6)</f>
        <v>2.2200000000000002</v>
      </c>
      <c r="AD700">
        <f>ROUND(((((ET700*3))-((EU700*3)))+AE700),6)</f>
        <v>0</v>
      </c>
      <c r="AE700">
        <f>ROUND(((EU700*3)),6)</f>
        <v>0</v>
      </c>
      <c r="AF700">
        <f>ROUND(((EV700*3)),6)</f>
        <v>1481.97</v>
      </c>
      <c r="AG700">
        <f t="shared" si="551"/>
        <v>0</v>
      </c>
      <c r="AH700">
        <f>((EW700*3))</f>
        <v>2.4000000000000004</v>
      </c>
      <c r="AI700">
        <f>((EX700*3))</f>
        <v>0</v>
      </c>
      <c r="AJ700">
        <f t="shared" si="552"/>
        <v>0</v>
      </c>
      <c r="AK700">
        <v>494.73</v>
      </c>
      <c r="AL700">
        <v>0.74</v>
      </c>
      <c r="AM700">
        <v>0</v>
      </c>
      <c r="AN700">
        <v>0</v>
      </c>
      <c r="AO700">
        <v>493.99</v>
      </c>
      <c r="AP700">
        <v>0</v>
      </c>
      <c r="AQ700">
        <v>0.8</v>
      </c>
      <c r="AR700">
        <v>0</v>
      </c>
      <c r="AS700">
        <v>0</v>
      </c>
      <c r="AT700">
        <v>70</v>
      </c>
      <c r="AU700">
        <v>10</v>
      </c>
      <c r="AV700">
        <v>1</v>
      </c>
      <c r="AW700">
        <v>1</v>
      </c>
      <c r="AZ700">
        <v>1</v>
      </c>
      <c r="BA700">
        <v>1</v>
      </c>
      <c r="BB700">
        <v>1</v>
      </c>
      <c r="BC700">
        <v>1</v>
      </c>
      <c r="BD700" t="s">
        <v>3</v>
      </c>
      <c r="BE700" t="s">
        <v>3</v>
      </c>
      <c r="BF700" t="s">
        <v>3</v>
      </c>
      <c r="BG700" t="s">
        <v>3</v>
      </c>
      <c r="BH700">
        <v>0</v>
      </c>
      <c r="BI700">
        <v>4</v>
      </c>
      <c r="BJ700" t="s">
        <v>174</v>
      </c>
      <c r="BM700">
        <v>0</v>
      </c>
      <c r="BN700">
        <v>0</v>
      </c>
      <c r="BO700" t="s">
        <v>3</v>
      </c>
      <c r="BP700">
        <v>0</v>
      </c>
      <c r="BQ700">
        <v>1</v>
      </c>
      <c r="BR700">
        <v>0</v>
      </c>
      <c r="BS700">
        <v>1</v>
      </c>
      <c r="BT700">
        <v>1</v>
      </c>
      <c r="BU700">
        <v>1</v>
      </c>
      <c r="BV700">
        <v>1</v>
      </c>
      <c r="BW700">
        <v>1</v>
      </c>
      <c r="BX700">
        <v>1</v>
      </c>
      <c r="BY700" t="s">
        <v>3</v>
      </c>
      <c r="BZ700">
        <v>70</v>
      </c>
      <c r="CA700">
        <v>10</v>
      </c>
      <c r="CB700" t="s">
        <v>3</v>
      </c>
      <c r="CE700">
        <v>0</v>
      </c>
      <c r="CF700">
        <v>0</v>
      </c>
      <c r="CG700">
        <v>0</v>
      </c>
      <c r="CM700">
        <v>0</v>
      </c>
      <c r="CN700" t="s">
        <v>3</v>
      </c>
      <c r="CO700">
        <v>0</v>
      </c>
      <c r="CP700">
        <f t="shared" si="553"/>
        <v>7420.9500000000007</v>
      </c>
      <c r="CQ700">
        <f t="shared" si="554"/>
        <v>2.2200000000000002</v>
      </c>
      <c r="CR700">
        <f>(((((ET700*3))*BB700-((EU700*3))*BS700)+AE700*BS700)*AV700)</f>
        <v>0</v>
      </c>
      <c r="CS700">
        <f t="shared" si="555"/>
        <v>0</v>
      </c>
      <c r="CT700">
        <f t="shared" si="556"/>
        <v>1481.97</v>
      </c>
      <c r="CU700">
        <f t="shared" si="557"/>
        <v>0</v>
      </c>
      <c r="CV700">
        <f t="shared" si="558"/>
        <v>2.4000000000000004</v>
      </c>
      <c r="CW700">
        <f t="shared" si="559"/>
        <v>0</v>
      </c>
      <c r="CX700">
        <f t="shared" si="560"/>
        <v>0</v>
      </c>
      <c r="CY700">
        <f t="shared" si="561"/>
        <v>5186.8950000000004</v>
      </c>
      <c r="CZ700">
        <f t="shared" si="562"/>
        <v>740.98500000000001</v>
      </c>
      <c r="DC700" t="s">
        <v>3</v>
      </c>
      <c r="DD700" t="s">
        <v>156</v>
      </c>
      <c r="DE700" t="s">
        <v>156</v>
      </c>
      <c r="DF700" t="s">
        <v>156</v>
      </c>
      <c r="DG700" t="s">
        <v>156</v>
      </c>
      <c r="DH700" t="s">
        <v>3</v>
      </c>
      <c r="DI700" t="s">
        <v>156</v>
      </c>
      <c r="DJ700" t="s">
        <v>156</v>
      </c>
      <c r="DK700" t="s">
        <v>3</v>
      </c>
      <c r="DL700" t="s">
        <v>3</v>
      </c>
      <c r="DM700" t="s">
        <v>3</v>
      </c>
      <c r="DN700">
        <v>0</v>
      </c>
      <c r="DO700">
        <v>0</v>
      </c>
      <c r="DP700">
        <v>1</v>
      </c>
      <c r="DQ700">
        <v>1</v>
      </c>
      <c r="DU700">
        <v>16987630</v>
      </c>
      <c r="DV700" t="s">
        <v>39</v>
      </c>
      <c r="DW700" t="s">
        <v>39</v>
      </c>
      <c r="DX700">
        <v>1</v>
      </c>
      <c r="DZ700" t="s">
        <v>3</v>
      </c>
      <c r="EA700" t="s">
        <v>3</v>
      </c>
      <c r="EB700" t="s">
        <v>3</v>
      </c>
      <c r="EC700" t="s">
        <v>3</v>
      </c>
      <c r="EE700">
        <v>1441815344</v>
      </c>
      <c r="EF700">
        <v>1</v>
      </c>
      <c r="EG700" t="s">
        <v>21</v>
      </c>
      <c r="EH700">
        <v>0</v>
      </c>
      <c r="EI700" t="s">
        <v>3</v>
      </c>
      <c r="EJ700">
        <v>4</v>
      </c>
      <c r="EK700">
        <v>0</v>
      </c>
      <c r="EL700" t="s">
        <v>22</v>
      </c>
      <c r="EM700" t="s">
        <v>23</v>
      </c>
      <c r="EO700" t="s">
        <v>3</v>
      </c>
      <c r="EQ700">
        <v>1024</v>
      </c>
      <c r="ER700">
        <v>494.73</v>
      </c>
      <c r="ES700">
        <v>0.74</v>
      </c>
      <c r="ET700">
        <v>0</v>
      </c>
      <c r="EU700">
        <v>0</v>
      </c>
      <c r="EV700">
        <v>493.99</v>
      </c>
      <c r="EW700">
        <v>0.8</v>
      </c>
      <c r="EX700">
        <v>0</v>
      </c>
      <c r="EY700">
        <v>0</v>
      </c>
      <c r="FQ700">
        <v>0</v>
      </c>
      <c r="FR700">
        <f t="shared" si="563"/>
        <v>0</v>
      </c>
      <c r="FS700">
        <v>0</v>
      </c>
      <c r="FX700">
        <v>70</v>
      </c>
      <c r="FY700">
        <v>10</v>
      </c>
      <c r="GA700" t="s">
        <v>3</v>
      </c>
      <c r="GD700">
        <v>0</v>
      </c>
      <c r="GF700">
        <v>292563352</v>
      </c>
      <c r="GG700">
        <v>2</v>
      </c>
      <c r="GH700">
        <v>1</v>
      </c>
      <c r="GI700">
        <v>-2</v>
      </c>
      <c r="GJ700">
        <v>0</v>
      </c>
      <c r="GK700">
        <f>ROUND(R700*(R12)/100,2)</f>
        <v>0</v>
      </c>
      <c r="GL700">
        <f t="shared" si="564"/>
        <v>0</v>
      </c>
      <c r="GM700">
        <f t="shared" si="565"/>
        <v>13348.84</v>
      </c>
      <c r="GN700">
        <f t="shared" si="566"/>
        <v>0</v>
      </c>
      <c r="GO700">
        <f t="shared" si="567"/>
        <v>0</v>
      </c>
      <c r="GP700">
        <f t="shared" si="568"/>
        <v>13348.84</v>
      </c>
      <c r="GR700">
        <v>0</v>
      </c>
      <c r="GS700">
        <v>3</v>
      </c>
      <c r="GT700">
        <v>0</v>
      </c>
      <c r="GU700" t="s">
        <v>3</v>
      </c>
      <c r="GV700">
        <f t="shared" si="569"/>
        <v>0</v>
      </c>
      <c r="GW700">
        <v>1</v>
      </c>
      <c r="GX700">
        <f t="shared" si="570"/>
        <v>0</v>
      </c>
      <c r="HA700">
        <v>0</v>
      </c>
      <c r="HB700">
        <v>0</v>
      </c>
      <c r="HC700">
        <f t="shared" si="571"/>
        <v>0</v>
      </c>
      <c r="HE700" t="s">
        <v>3</v>
      </c>
      <c r="HF700" t="s">
        <v>3</v>
      </c>
      <c r="HM700" t="s">
        <v>3</v>
      </c>
      <c r="HN700" t="s">
        <v>3</v>
      </c>
      <c r="HO700" t="s">
        <v>3</v>
      </c>
      <c r="HP700" t="s">
        <v>3</v>
      </c>
      <c r="HQ700" t="s">
        <v>3</v>
      </c>
      <c r="IK700">
        <v>0</v>
      </c>
    </row>
    <row r="701" spans="1:245" x14ac:dyDescent="0.2">
      <c r="A701">
        <v>17</v>
      </c>
      <c r="B701">
        <v>1</v>
      </c>
      <c r="D701">
        <f>ROW(EtalonRes!A419)</f>
        <v>419</v>
      </c>
      <c r="E701" t="s">
        <v>3</v>
      </c>
      <c r="F701" t="s">
        <v>175</v>
      </c>
      <c r="G701" t="s">
        <v>176</v>
      </c>
      <c r="H701" t="s">
        <v>39</v>
      </c>
      <c r="I701">
        <f>ROUND((3)*5,9)</f>
        <v>15</v>
      </c>
      <c r="J701">
        <v>0</v>
      </c>
      <c r="K701">
        <f>ROUND((3)*5,9)</f>
        <v>15</v>
      </c>
      <c r="O701">
        <f t="shared" si="539"/>
        <v>16930.05</v>
      </c>
      <c r="P701">
        <f t="shared" si="540"/>
        <v>4.6500000000000004</v>
      </c>
      <c r="Q701">
        <f t="shared" si="541"/>
        <v>0</v>
      </c>
      <c r="R701">
        <f t="shared" si="542"/>
        <v>0</v>
      </c>
      <c r="S701">
        <f t="shared" si="543"/>
        <v>16925.400000000001</v>
      </c>
      <c r="T701">
        <f t="shared" si="544"/>
        <v>0</v>
      </c>
      <c r="U701">
        <f t="shared" si="545"/>
        <v>23.85</v>
      </c>
      <c r="V701">
        <f t="shared" si="546"/>
        <v>0</v>
      </c>
      <c r="W701">
        <f t="shared" si="547"/>
        <v>0</v>
      </c>
      <c r="X701">
        <f t="shared" si="548"/>
        <v>11847.78</v>
      </c>
      <c r="Y701">
        <f t="shared" si="549"/>
        <v>1692.54</v>
      </c>
      <c r="AA701">
        <v>-1</v>
      </c>
      <c r="AB701">
        <f t="shared" si="550"/>
        <v>1128.67</v>
      </c>
      <c r="AC701">
        <f>ROUND((ES701),6)</f>
        <v>0.31</v>
      </c>
      <c r="AD701">
        <f>ROUND((((ET701)-(EU701))+AE701),6)</f>
        <v>0</v>
      </c>
      <c r="AE701">
        <f>ROUND((EU701),6)</f>
        <v>0</v>
      </c>
      <c r="AF701">
        <f>ROUND((EV701),6)</f>
        <v>1128.3599999999999</v>
      </c>
      <c r="AG701">
        <f t="shared" si="551"/>
        <v>0</v>
      </c>
      <c r="AH701">
        <f>(EW701)</f>
        <v>1.59</v>
      </c>
      <c r="AI701">
        <f>(EX701)</f>
        <v>0</v>
      </c>
      <c r="AJ701">
        <f t="shared" si="552"/>
        <v>0</v>
      </c>
      <c r="AK701">
        <v>1128.67</v>
      </c>
      <c r="AL701">
        <v>0.31</v>
      </c>
      <c r="AM701">
        <v>0</v>
      </c>
      <c r="AN701">
        <v>0</v>
      </c>
      <c r="AO701">
        <v>1128.3599999999999</v>
      </c>
      <c r="AP701">
        <v>0</v>
      </c>
      <c r="AQ701">
        <v>1.59</v>
      </c>
      <c r="AR701">
        <v>0</v>
      </c>
      <c r="AS701">
        <v>0</v>
      </c>
      <c r="AT701">
        <v>70</v>
      </c>
      <c r="AU701">
        <v>10</v>
      </c>
      <c r="AV701">
        <v>1</v>
      </c>
      <c r="AW701">
        <v>1</v>
      </c>
      <c r="AZ701">
        <v>1</v>
      </c>
      <c r="BA701">
        <v>1</v>
      </c>
      <c r="BB701">
        <v>1</v>
      </c>
      <c r="BC701">
        <v>1</v>
      </c>
      <c r="BD701" t="s">
        <v>3</v>
      </c>
      <c r="BE701" t="s">
        <v>3</v>
      </c>
      <c r="BF701" t="s">
        <v>3</v>
      </c>
      <c r="BG701" t="s">
        <v>3</v>
      </c>
      <c r="BH701">
        <v>0</v>
      </c>
      <c r="BI701">
        <v>4</v>
      </c>
      <c r="BJ701" t="s">
        <v>177</v>
      </c>
      <c r="BM701">
        <v>0</v>
      </c>
      <c r="BN701">
        <v>0</v>
      </c>
      <c r="BO701" t="s">
        <v>3</v>
      </c>
      <c r="BP701">
        <v>0</v>
      </c>
      <c r="BQ701">
        <v>1</v>
      </c>
      <c r="BR701">
        <v>0</v>
      </c>
      <c r="BS701">
        <v>1</v>
      </c>
      <c r="BT701">
        <v>1</v>
      </c>
      <c r="BU701">
        <v>1</v>
      </c>
      <c r="BV701">
        <v>1</v>
      </c>
      <c r="BW701">
        <v>1</v>
      </c>
      <c r="BX701">
        <v>1</v>
      </c>
      <c r="BY701" t="s">
        <v>3</v>
      </c>
      <c r="BZ701">
        <v>70</v>
      </c>
      <c r="CA701">
        <v>10</v>
      </c>
      <c r="CB701" t="s">
        <v>3</v>
      </c>
      <c r="CE701">
        <v>0</v>
      </c>
      <c r="CF701">
        <v>0</v>
      </c>
      <c r="CG701">
        <v>0</v>
      </c>
      <c r="CM701">
        <v>0</v>
      </c>
      <c r="CN701" t="s">
        <v>3</v>
      </c>
      <c r="CO701">
        <v>0</v>
      </c>
      <c r="CP701">
        <f t="shared" si="553"/>
        <v>16930.050000000003</v>
      </c>
      <c r="CQ701">
        <f t="shared" si="554"/>
        <v>0.31</v>
      </c>
      <c r="CR701">
        <f>((((ET701)*BB701-(EU701)*BS701)+AE701*BS701)*AV701)</f>
        <v>0</v>
      </c>
      <c r="CS701">
        <f t="shared" si="555"/>
        <v>0</v>
      </c>
      <c r="CT701">
        <f t="shared" si="556"/>
        <v>1128.3599999999999</v>
      </c>
      <c r="CU701">
        <f t="shared" si="557"/>
        <v>0</v>
      </c>
      <c r="CV701">
        <f t="shared" si="558"/>
        <v>1.59</v>
      </c>
      <c r="CW701">
        <f t="shared" si="559"/>
        <v>0</v>
      </c>
      <c r="CX701">
        <f t="shared" si="560"/>
        <v>0</v>
      </c>
      <c r="CY701">
        <f t="shared" si="561"/>
        <v>11847.78</v>
      </c>
      <c r="CZ701">
        <f t="shared" si="562"/>
        <v>1692.54</v>
      </c>
      <c r="DC701" t="s">
        <v>3</v>
      </c>
      <c r="DD701" t="s">
        <v>3</v>
      </c>
      <c r="DE701" t="s">
        <v>3</v>
      </c>
      <c r="DF701" t="s">
        <v>3</v>
      </c>
      <c r="DG701" t="s">
        <v>3</v>
      </c>
      <c r="DH701" t="s">
        <v>3</v>
      </c>
      <c r="DI701" t="s">
        <v>3</v>
      </c>
      <c r="DJ701" t="s">
        <v>3</v>
      </c>
      <c r="DK701" t="s">
        <v>3</v>
      </c>
      <c r="DL701" t="s">
        <v>3</v>
      </c>
      <c r="DM701" t="s">
        <v>3</v>
      </c>
      <c r="DN701">
        <v>0</v>
      </c>
      <c r="DO701">
        <v>0</v>
      </c>
      <c r="DP701">
        <v>1</v>
      </c>
      <c r="DQ701">
        <v>1</v>
      </c>
      <c r="DU701">
        <v>16987630</v>
      </c>
      <c r="DV701" t="s">
        <v>39</v>
      </c>
      <c r="DW701" t="s">
        <v>39</v>
      </c>
      <c r="DX701">
        <v>1</v>
      </c>
      <c r="DZ701" t="s">
        <v>3</v>
      </c>
      <c r="EA701" t="s">
        <v>3</v>
      </c>
      <c r="EB701" t="s">
        <v>3</v>
      </c>
      <c r="EC701" t="s">
        <v>3</v>
      </c>
      <c r="EE701">
        <v>1441815344</v>
      </c>
      <c r="EF701">
        <v>1</v>
      </c>
      <c r="EG701" t="s">
        <v>21</v>
      </c>
      <c r="EH701">
        <v>0</v>
      </c>
      <c r="EI701" t="s">
        <v>3</v>
      </c>
      <c r="EJ701">
        <v>4</v>
      </c>
      <c r="EK701">
        <v>0</v>
      </c>
      <c r="EL701" t="s">
        <v>22</v>
      </c>
      <c r="EM701" t="s">
        <v>23</v>
      </c>
      <c r="EO701" t="s">
        <v>3</v>
      </c>
      <c r="EQ701">
        <v>1836032</v>
      </c>
      <c r="ER701">
        <v>1128.67</v>
      </c>
      <c r="ES701">
        <v>0.31</v>
      </c>
      <c r="ET701">
        <v>0</v>
      </c>
      <c r="EU701">
        <v>0</v>
      </c>
      <c r="EV701">
        <v>1128.3599999999999</v>
      </c>
      <c r="EW701">
        <v>1.59</v>
      </c>
      <c r="EX701">
        <v>0</v>
      </c>
      <c r="EY701">
        <v>0</v>
      </c>
      <c r="FQ701">
        <v>0</v>
      </c>
      <c r="FR701">
        <f t="shared" si="563"/>
        <v>0</v>
      </c>
      <c r="FS701">
        <v>0</v>
      </c>
      <c r="FX701">
        <v>70</v>
      </c>
      <c r="FY701">
        <v>10</v>
      </c>
      <c r="GA701" t="s">
        <v>3</v>
      </c>
      <c r="GD701">
        <v>0</v>
      </c>
      <c r="GF701">
        <v>2029808212</v>
      </c>
      <c r="GG701">
        <v>2</v>
      </c>
      <c r="GH701">
        <v>1</v>
      </c>
      <c r="GI701">
        <v>-2</v>
      </c>
      <c r="GJ701">
        <v>0</v>
      </c>
      <c r="GK701">
        <f>ROUND(R701*(R12)/100,2)</f>
        <v>0</v>
      </c>
      <c r="GL701">
        <f t="shared" si="564"/>
        <v>0</v>
      </c>
      <c r="GM701">
        <f t="shared" si="565"/>
        <v>30470.37</v>
      </c>
      <c r="GN701">
        <f t="shared" si="566"/>
        <v>0</v>
      </c>
      <c r="GO701">
        <f t="shared" si="567"/>
        <v>0</v>
      </c>
      <c r="GP701">
        <f t="shared" si="568"/>
        <v>30470.37</v>
      </c>
      <c r="GR701">
        <v>0</v>
      </c>
      <c r="GS701">
        <v>3</v>
      </c>
      <c r="GT701">
        <v>0</v>
      </c>
      <c r="GU701" t="s">
        <v>3</v>
      </c>
      <c r="GV701">
        <f t="shared" si="569"/>
        <v>0</v>
      </c>
      <c r="GW701">
        <v>1</v>
      </c>
      <c r="GX701">
        <f t="shared" si="570"/>
        <v>0</v>
      </c>
      <c r="HA701">
        <v>0</v>
      </c>
      <c r="HB701">
        <v>0</v>
      </c>
      <c r="HC701">
        <f t="shared" si="571"/>
        <v>0</v>
      </c>
      <c r="HE701" t="s">
        <v>3</v>
      </c>
      <c r="HF701" t="s">
        <v>3</v>
      </c>
      <c r="HM701" t="s">
        <v>3</v>
      </c>
      <c r="HN701" t="s">
        <v>3</v>
      </c>
      <c r="HO701" t="s">
        <v>3</v>
      </c>
      <c r="HP701" t="s">
        <v>3</v>
      </c>
      <c r="HQ701" t="s">
        <v>3</v>
      </c>
      <c r="IK701">
        <v>0</v>
      </c>
    </row>
    <row r="702" spans="1:245" x14ac:dyDescent="0.2">
      <c r="A702">
        <v>17</v>
      </c>
      <c r="B702">
        <v>1</v>
      </c>
      <c r="D702">
        <f>ROW(EtalonRes!A422)</f>
        <v>422</v>
      </c>
      <c r="E702" t="s">
        <v>334</v>
      </c>
      <c r="F702" t="s">
        <v>179</v>
      </c>
      <c r="G702" t="s">
        <v>180</v>
      </c>
      <c r="H702" t="s">
        <v>39</v>
      </c>
      <c r="I702">
        <f>ROUND(3*5,9)</f>
        <v>15</v>
      </c>
      <c r="J702">
        <v>0</v>
      </c>
      <c r="K702">
        <f>ROUND(3*5,9)</f>
        <v>15</v>
      </c>
      <c r="O702">
        <f t="shared" si="539"/>
        <v>1333.2</v>
      </c>
      <c r="P702">
        <f t="shared" si="540"/>
        <v>33</v>
      </c>
      <c r="Q702">
        <f t="shared" si="541"/>
        <v>3.45</v>
      </c>
      <c r="R702">
        <f t="shared" si="542"/>
        <v>0</v>
      </c>
      <c r="S702">
        <f t="shared" si="543"/>
        <v>1296.75</v>
      </c>
      <c r="T702">
        <f t="shared" si="544"/>
        <v>0</v>
      </c>
      <c r="U702">
        <f t="shared" si="545"/>
        <v>2.1</v>
      </c>
      <c r="V702">
        <f t="shared" si="546"/>
        <v>0</v>
      </c>
      <c r="W702">
        <f t="shared" si="547"/>
        <v>0</v>
      </c>
      <c r="X702">
        <f t="shared" si="548"/>
        <v>907.73</v>
      </c>
      <c r="Y702">
        <f t="shared" si="549"/>
        <v>129.68</v>
      </c>
      <c r="AA702">
        <v>1471531721</v>
      </c>
      <c r="AB702">
        <f t="shared" si="550"/>
        <v>88.88</v>
      </c>
      <c r="AC702">
        <f>ROUND((ES702),6)</f>
        <v>2.2000000000000002</v>
      </c>
      <c r="AD702">
        <f>ROUND((((ET702)-(EU702))+AE702),6)</f>
        <v>0.23</v>
      </c>
      <c r="AE702">
        <f>ROUND((EU702),6)</f>
        <v>0</v>
      </c>
      <c r="AF702">
        <f>ROUND((EV702),6)</f>
        <v>86.45</v>
      </c>
      <c r="AG702">
        <f t="shared" si="551"/>
        <v>0</v>
      </c>
      <c r="AH702">
        <f>(EW702)</f>
        <v>0.14000000000000001</v>
      </c>
      <c r="AI702">
        <f>(EX702)</f>
        <v>0</v>
      </c>
      <c r="AJ702">
        <f t="shared" si="552"/>
        <v>0</v>
      </c>
      <c r="AK702">
        <v>88.88</v>
      </c>
      <c r="AL702">
        <v>2.2000000000000002</v>
      </c>
      <c r="AM702">
        <v>0.23</v>
      </c>
      <c r="AN702">
        <v>0</v>
      </c>
      <c r="AO702">
        <v>86.45</v>
      </c>
      <c r="AP702">
        <v>0</v>
      </c>
      <c r="AQ702">
        <v>0.14000000000000001</v>
      </c>
      <c r="AR702">
        <v>0</v>
      </c>
      <c r="AS702">
        <v>0</v>
      </c>
      <c r="AT702">
        <v>70</v>
      </c>
      <c r="AU702">
        <v>10</v>
      </c>
      <c r="AV702">
        <v>1</v>
      </c>
      <c r="AW702">
        <v>1</v>
      </c>
      <c r="AZ702">
        <v>1</v>
      </c>
      <c r="BA702">
        <v>1</v>
      </c>
      <c r="BB702">
        <v>1</v>
      </c>
      <c r="BC702">
        <v>1</v>
      </c>
      <c r="BD702" t="s">
        <v>3</v>
      </c>
      <c r="BE702" t="s">
        <v>3</v>
      </c>
      <c r="BF702" t="s">
        <v>3</v>
      </c>
      <c r="BG702" t="s">
        <v>3</v>
      </c>
      <c r="BH702">
        <v>0</v>
      </c>
      <c r="BI702">
        <v>4</v>
      </c>
      <c r="BJ702" t="s">
        <v>181</v>
      </c>
      <c r="BM702">
        <v>0</v>
      </c>
      <c r="BN702">
        <v>0</v>
      </c>
      <c r="BO702" t="s">
        <v>3</v>
      </c>
      <c r="BP702">
        <v>0</v>
      </c>
      <c r="BQ702">
        <v>1</v>
      </c>
      <c r="BR702">
        <v>0</v>
      </c>
      <c r="BS702">
        <v>1</v>
      </c>
      <c r="BT702">
        <v>1</v>
      </c>
      <c r="BU702">
        <v>1</v>
      </c>
      <c r="BV702">
        <v>1</v>
      </c>
      <c r="BW702">
        <v>1</v>
      </c>
      <c r="BX702">
        <v>1</v>
      </c>
      <c r="BY702" t="s">
        <v>3</v>
      </c>
      <c r="BZ702">
        <v>70</v>
      </c>
      <c r="CA702">
        <v>10</v>
      </c>
      <c r="CB702" t="s">
        <v>3</v>
      </c>
      <c r="CE702">
        <v>0</v>
      </c>
      <c r="CF702">
        <v>0</v>
      </c>
      <c r="CG702">
        <v>0</v>
      </c>
      <c r="CM702">
        <v>0</v>
      </c>
      <c r="CN702" t="s">
        <v>3</v>
      </c>
      <c r="CO702">
        <v>0</v>
      </c>
      <c r="CP702">
        <f t="shared" si="553"/>
        <v>1333.2</v>
      </c>
      <c r="CQ702">
        <f t="shared" si="554"/>
        <v>2.2000000000000002</v>
      </c>
      <c r="CR702">
        <f>((((ET702)*BB702-(EU702)*BS702)+AE702*BS702)*AV702)</f>
        <v>0.23</v>
      </c>
      <c r="CS702">
        <f t="shared" si="555"/>
        <v>0</v>
      </c>
      <c r="CT702">
        <f t="shared" si="556"/>
        <v>86.45</v>
      </c>
      <c r="CU702">
        <f t="shared" si="557"/>
        <v>0</v>
      </c>
      <c r="CV702">
        <f t="shared" si="558"/>
        <v>0.14000000000000001</v>
      </c>
      <c r="CW702">
        <f t="shared" si="559"/>
        <v>0</v>
      </c>
      <c r="CX702">
        <f t="shared" si="560"/>
        <v>0</v>
      </c>
      <c r="CY702">
        <f t="shared" si="561"/>
        <v>907.72500000000002</v>
      </c>
      <c r="CZ702">
        <f t="shared" si="562"/>
        <v>129.67500000000001</v>
      </c>
      <c r="DC702" t="s">
        <v>3</v>
      </c>
      <c r="DD702" t="s">
        <v>3</v>
      </c>
      <c r="DE702" t="s">
        <v>3</v>
      </c>
      <c r="DF702" t="s">
        <v>3</v>
      </c>
      <c r="DG702" t="s">
        <v>3</v>
      </c>
      <c r="DH702" t="s">
        <v>3</v>
      </c>
      <c r="DI702" t="s">
        <v>3</v>
      </c>
      <c r="DJ702" t="s">
        <v>3</v>
      </c>
      <c r="DK702" t="s">
        <v>3</v>
      </c>
      <c r="DL702" t="s">
        <v>3</v>
      </c>
      <c r="DM702" t="s">
        <v>3</v>
      </c>
      <c r="DN702">
        <v>0</v>
      </c>
      <c r="DO702">
        <v>0</v>
      </c>
      <c r="DP702">
        <v>1</v>
      </c>
      <c r="DQ702">
        <v>1</v>
      </c>
      <c r="DU702">
        <v>16987630</v>
      </c>
      <c r="DV702" t="s">
        <v>39</v>
      </c>
      <c r="DW702" t="s">
        <v>39</v>
      </c>
      <c r="DX702">
        <v>1</v>
      </c>
      <c r="DZ702" t="s">
        <v>3</v>
      </c>
      <c r="EA702" t="s">
        <v>3</v>
      </c>
      <c r="EB702" t="s">
        <v>3</v>
      </c>
      <c r="EC702" t="s">
        <v>3</v>
      </c>
      <c r="EE702">
        <v>1441815344</v>
      </c>
      <c r="EF702">
        <v>1</v>
      </c>
      <c r="EG702" t="s">
        <v>21</v>
      </c>
      <c r="EH702">
        <v>0</v>
      </c>
      <c r="EI702" t="s">
        <v>3</v>
      </c>
      <c r="EJ702">
        <v>4</v>
      </c>
      <c r="EK702">
        <v>0</v>
      </c>
      <c r="EL702" t="s">
        <v>22</v>
      </c>
      <c r="EM702" t="s">
        <v>23</v>
      </c>
      <c r="EO702" t="s">
        <v>3</v>
      </c>
      <c r="EQ702">
        <v>0</v>
      </c>
      <c r="ER702">
        <v>88.88</v>
      </c>
      <c r="ES702">
        <v>2.2000000000000002</v>
      </c>
      <c r="ET702">
        <v>0.23</v>
      </c>
      <c r="EU702">
        <v>0</v>
      </c>
      <c r="EV702">
        <v>86.45</v>
      </c>
      <c r="EW702">
        <v>0.14000000000000001</v>
      </c>
      <c r="EX702">
        <v>0</v>
      </c>
      <c r="EY702">
        <v>0</v>
      </c>
      <c r="FQ702">
        <v>0</v>
      </c>
      <c r="FR702">
        <f t="shared" si="563"/>
        <v>0</v>
      </c>
      <c r="FS702">
        <v>0</v>
      </c>
      <c r="FX702">
        <v>70</v>
      </c>
      <c r="FY702">
        <v>10</v>
      </c>
      <c r="GA702" t="s">
        <v>3</v>
      </c>
      <c r="GD702">
        <v>0</v>
      </c>
      <c r="GF702">
        <v>-129403832</v>
      </c>
      <c r="GG702">
        <v>2</v>
      </c>
      <c r="GH702">
        <v>1</v>
      </c>
      <c r="GI702">
        <v>-2</v>
      </c>
      <c r="GJ702">
        <v>0</v>
      </c>
      <c r="GK702">
        <f>ROUND(R702*(R12)/100,2)</f>
        <v>0</v>
      </c>
      <c r="GL702">
        <f t="shared" si="564"/>
        <v>0</v>
      </c>
      <c r="GM702">
        <f t="shared" si="565"/>
        <v>2370.61</v>
      </c>
      <c r="GN702">
        <f t="shared" si="566"/>
        <v>0</v>
      </c>
      <c r="GO702">
        <f t="shared" si="567"/>
        <v>0</v>
      </c>
      <c r="GP702">
        <f t="shared" si="568"/>
        <v>2370.61</v>
      </c>
      <c r="GR702">
        <v>0</v>
      </c>
      <c r="GS702">
        <v>3</v>
      </c>
      <c r="GT702">
        <v>0</v>
      </c>
      <c r="GU702" t="s">
        <v>3</v>
      </c>
      <c r="GV702">
        <f t="shared" si="569"/>
        <v>0</v>
      </c>
      <c r="GW702">
        <v>1</v>
      </c>
      <c r="GX702">
        <f t="shared" si="570"/>
        <v>0</v>
      </c>
      <c r="HA702">
        <v>0</v>
      </c>
      <c r="HB702">
        <v>0</v>
      </c>
      <c r="HC702">
        <f t="shared" si="571"/>
        <v>0</v>
      </c>
      <c r="HE702" t="s">
        <v>3</v>
      </c>
      <c r="HF702" t="s">
        <v>3</v>
      </c>
      <c r="HM702" t="s">
        <v>3</v>
      </c>
      <c r="HN702" t="s">
        <v>3</v>
      </c>
      <c r="HO702" t="s">
        <v>3</v>
      </c>
      <c r="HP702" t="s">
        <v>3</v>
      </c>
      <c r="HQ702" t="s">
        <v>3</v>
      </c>
      <c r="IK702">
        <v>0</v>
      </c>
    </row>
    <row r="703" spans="1:245" x14ac:dyDescent="0.2">
      <c r="A703">
        <v>17</v>
      </c>
      <c r="B703">
        <v>1</v>
      </c>
      <c r="D703">
        <f>ROW(EtalonRes!A423)</f>
        <v>423</v>
      </c>
      <c r="E703" t="s">
        <v>3</v>
      </c>
      <c r="F703" t="s">
        <v>182</v>
      </c>
      <c r="G703" t="s">
        <v>183</v>
      </c>
      <c r="H703" t="s">
        <v>18</v>
      </c>
      <c r="I703">
        <f>ROUND(3*5/10,9)</f>
        <v>1.5</v>
      </c>
      <c r="J703">
        <v>0</v>
      </c>
      <c r="K703">
        <f>ROUND(3*5/10,9)</f>
        <v>1.5</v>
      </c>
      <c r="O703">
        <f t="shared" si="539"/>
        <v>935.15</v>
      </c>
      <c r="P703">
        <f t="shared" si="540"/>
        <v>0</v>
      </c>
      <c r="Q703">
        <f t="shared" si="541"/>
        <v>0</v>
      </c>
      <c r="R703">
        <f t="shared" si="542"/>
        <v>0</v>
      </c>
      <c r="S703">
        <f t="shared" si="543"/>
        <v>935.15</v>
      </c>
      <c r="T703">
        <f t="shared" si="544"/>
        <v>0</v>
      </c>
      <c r="U703">
        <f t="shared" si="545"/>
        <v>1.845</v>
      </c>
      <c r="V703">
        <f t="shared" si="546"/>
        <v>0</v>
      </c>
      <c r="W703">
        <f t="shared" si="547"/>
        <v>0</v>
      </c>
      <c r="X703">
        <f t="shared" si="548"/>
        <v>654.61</v>
      </c>
      <c r="Y703">
        <f t="shared" si="549"/>
        <v>93.52</v>
      </c>
      <c r="AA703">
        <v>-1</v>
      </c>
      <c r="AB703">
        <f t="shared" si="550"/>
        <v>623.42999999999995</v>
      </c>
      <c r="AC703">
        <f>ROUND(((ES703*3)),6)</f>
        <v>0</v>
      </c>
      <c r="AD703">
        <f>ROUND(((((ET703*3))-((EU703*3)))+AE703),6)</f>
        <v>0</v>
      </c>
      <c r="AE703">
        <f>ROUND(((EU703*3)),6)</f>
        <v>0</v>
      </c>
      <c r="AF703">
        <f>ROUND(((EV703*3)),6)</f>
        <v>623.42999999999995</v>
      </c>
      <c r="AG703">
        <f t="shared" si="551"/>
        <v>0</v>
      </c>
      <c r="AH703">
        <f>((EW703*3))</f>
        <v>1.23</v>
      </c>
      <c r="AI703">
        <f>((EX703*3))</f>
        <v>0</v>
      </c>
      <c r="AJ703">
        <f t="shared" si="552"/>
        <v>0</v>
      </c>
      <c r="AK703">
        <v>207.81</v>
      </c>
      <c r="AL703">
        <v>0</v>
      </c>
      <c r="AM703">
        <v>0</v>
      </c>
      <c r="AN703">
        <v>0</v>
      </c>
      <c r="AO703">
        <v>207.81</v>
      </c>
      <c r="AP703">
        <v>0</v>
      </c>
      <c r="AQ703">
        <v>0.41</v>
      </c>
      <c r="AR703">
        <v>0</v>
      </c>
      <c r="AS703">
        <v>0</v>
      </c>
      <c r="AT703">
        <v>70</v>
      </c>
      <c r="AU703">
        <v>10</v>
      </c>
      <c r="AV703">
        <v>1</v>
      </c>
      <c r="AW703">
        <v>1</v>
      </c>
      <c r="AZ703">
        <v>1</v>
      </c>
      <c r="BA703">
        <v>1</v>
      </c>
      <c r="BB703">
        <v>1</v>
      </c>
      <c r="BC703">
        <v>1</v>
      </c>
      <c r="BD703" t="s">
        <v>3</v>
      </c>
      <c r="BE703" t="s">
        <v>3</v>
      </c>
      <c r="BF703" t="s">
        <v>3</v>
      </c>
      <c r="BG703" t="s">
        <v>3</v>
      </c>
      <c r="BH703">
        <v>0</v>
      </c>
      <c r="BI703">
        <v>4</v>
      </c>
      <c r="BJ703" t="s">
        <v>184</v>
      </c>
      <c r="BM703">
        <v>0</v>
      </c>
      <c r="BN703">
        <v>0</v>
      </c>
      <c r="BO703" t="s">
        <v>3</v>
      </c>
      <c r="BP703">
        <v>0</v>
      </c>
      <c r="BQ703">
        <v>1</v>
      </c>
      <c r="BR703">
        <v>0</v>
      </c>
      <c r="BS703">
        <v>1</v>
      </c>
      <c r="BT703">
        <v>1</v>
      </c>
      <c r="BU703">
        <v>1</v>
      </c>
      <c r="BV703">
        <v>1</v>
      </c>
      <c r="BW703">
        <v>1</v>
      </c>
      <c r="BX703">
        <v>1</v>
      </c>
      <c r="BY703" t="s">
        <v>3</v>
      </c>
      <c r="BZ703">
        <v>70</v>
      </c>
      <c r="CA703">
        <v>10</v>
      </c>
      <c r="CB703" t="s">
        <v>3</v>
      </c>
      <c r="CE703">
        <v>0</v>
      </c>
      <c r="CF703">
        <v>0</v>
      </c>
      <c r="CG703">
        <v>0</v>
      </c>
      <c r="CM703">
        <v>0</v>
      </c>
      <c r="CN703" t="s">
        <v>3</v>
      </c>
      <c r="CO703">
        <v>0</v>
      </c>
      <c r="CP703">
        <f t="shared" si="553"/>
        <v>935.15</v>
      </c>
      <c r="CQ703">
        <f t="shared" si="554"/>
        <v>0</v>
      </c>
      <c r="CR703">
        <f>(((((ET703*3))*BB703-((EU703*3))*BS703)+AE703*BS703)*AV703)</f>
        <v>0</v>
      </c>
      <c r="CS703">
        <f t="shared" si="555"/>
        <v>0</v>
      </c>
      <c r="CT703">
        <f t="shared" si="556"/>
        <v>623.42999999999995</v>
      </c>
      <c r="CU703">
        <f t="shared" si="557"/>
        <v>0</v>
      </c>
      <c r="CV703">
        <f t="shared" si="558"/>
        <v>1.23</v>
      </c>
      <c r="CW703">
        <f t="shared" si="559"/>
        <v>0</v>
      </c>
      <c r="CX703">
        <f t="shared" si="560"/>
        <v>0</v>
      </c>
      <c r="CY703">
        <f t="shared" si="561"/>
        <v>654.60500000000002</v>
      </c>
      <c r="CZ703">
        <f t="shared" si="562"/>
        <v>93.515000000000001</v>
      </c>
      <c r="DC703" t="s">
        <v>3</v>
      </c>
      <c r="DD703" t="s">
        <v>156</v>
      </c>
      <c r="DE703" t="s">
        <v>156</v>
      </c>
      <c r="DF703" t="s">
        <v>156</v>
      </c>
      <c r="DG703" t="s">
        <v>156</v>
      </c>
      <c r="DH703" t="s">
        <v>3</v>
      </c>
      <c r="DI703" t="s">
        <v>156</v>
      </c>
      <c r="DJ703" t="s">
        <v>156</v>
      </c>
      <c r="DK703" t="s">
        <v>3</v>
      </c>
      <c r="DL703" t="s">
        <v>3</v>
      </c>
      <c r="DM703" t="s">
        <v>3</v>
      </c>
      <c r="DN703">
        <v>0</v>
      </c>
      <c r="DO703">
        <v>0</v>
      </c>
      <c r="DP703">
        <v>1</v>
      </c>
      <c r="DQ703">
        <v>1</v>
      </c>
      <c r="DU703">
        <v>16987630</v>
      </c>
      <c r="DV703" t="s">
        <v>18</v>
      </c>
      <c r="DW703" t="s">
        <v>18</v>
      </c>
      <c r="DX703">
        <v>10</v>
      </c>
      <c r="DZ703" t="s">
        <v>3</v>
      </c>
      <c r="EA703" t="s">
        <v>3</v>
      </c>
      <c r="EB703" t="s">
        <v>3</v>
      </c>
      <c r="EC703" t="s">
        <v>3</v>
      </c>
      <c r="EE703">
        <v>1441815344</v>
      </c>
      <c r="EF703">
        <v>1</v>
      </c>
      <c r="EG703" t="s">
        <v>21</v>
      </c>
      <c r="EH703">
        <v>0</v>
      </c>
      <c r="EI703" t="s">
        <v>3</v>
      </c>
      <c r="EJ703">
        <v>4</v>
      </c>
      <c r="EK703">
        <v>0</v>
      </c>
      <c r="EL703" t="s">
        <v>22</v>
      </c>
      <c r="EM703" t="s">
        <v>23</v>
      </c>
      <c r="EO703" t="s">
        <v>3</v>
      </c>
      <c r="EQ703">
        <v>1024</v>
      </c>
      <c r="ER703">
        <v>207.81</v>
      </c>
      <c r="ES703">
        <v>0</v>
      </c>
      <c r="ET703">
        <v>0</v>
      </c>
      <c r="EU703">
        <v>0</v>
      </c>
      <c r="EV703">
        <v>207.81</v>
      </c>
      <c r="EW703">
        <v>0.41</v>
      </c>
      <c r="EX703">
        <v>0</v>
      </c>
      <c r="EY703">
        <v>0</v>
      </c>
      <c r="FQ703">
        <v>0</v>
      </c>
      <c r="FR703">
        <f t="shared" si="563"/>
        <v>0</v>
      </c>
      <c r="FS703">
        <v>0</v>
      </c>
      <c r="FX703">
        <v>70</v>
      </c>
      <c r="FY703">
        <v>10</v>
      </c>
      <c r="GA703" t="s">
        <v>3</v>
      </c>
      <c r="GD703">
        <v>0</v>
      </c>
      <c r="GF703">
        <v>1497006217</v>
      </c>
      <c r="GG703">
        <v>2</v>
      </c>
      <c r="GH703">
        <v>1</v>
      </c>
      <c r="GI703">
        <v>-2</v>
      </c>
      <c r="GJ703">
        <v>0</v>
      </c>
      <c r="GK703">
        <f>ROUND(R703*(R12)/100,2)</f>
        <v>0</v>
      </c>
      <c r="GL703">
        <f t="shared" si="564"/>
        <v>0</v>
      </c>
      <c r="GM703">
        <f t="shared" si="565"/>
        <v>1683.28</v>
      </c>
      <c r="GN703">
        <f t="shared" si="566"/>
        <v>0</v>
      </c>
      <c r="GO703">
        <f t="shared" si="567"/>
        <v>0</v>
      </c>
      <c r="GP703">
        <f t="shared" si="568"/>
        <v>1683.28</v>
      </c>
      <c r="GR703">
        <v>0</v>
      </c>
      <c r="GS703">
        <v>3</v>
      </c>
      <c r="GT703">
        <v>0</v>
      </c>
      <c r="GU703" t="s">
        <v>3</v>
      </c>
      <c r="GV703">
        <f t="shared" si="569"/>
        <v>0</v>
      </c>
      <c r="GW703">
        <v>1</v>
      </c>
      <c r="GX703">
        <f t="shared" si="570"/>
        <v>0</v>
      </c>
      <c r="HA703">
        <v>0</v>
      </c>
      <c r="HB703">
        <v>0</v>
      </c>
      <c r="HC703">
        <f t="shared" si="571"/>
        <v>0</v>
      </c>
      <c r="HE703" t="s">
        <v>3</v>
      </c>
      <c r="HF703" t="s">
        <v>3</v>
      </c>
      <c r="HM703" t="s">
        <v>3</v>
      </c>
      <c r="HN703" t="s">
        <v>3</v>
      </c>
      <c r="HO703" t="s">
        <v>3</v>
      </c>
      <c r="HP703" t="s">
        <v>3</v>
      </c>
      <c r="HQ703" t="s">
        <v>3</v>
      </c>
      <c r="IK703">
        <v>0</v>
      </c>
    </row>
    <row r="704" spans="1:245" x14ac:dyDescent="0.2">
      <c r="A704">
        <v>17</v>
      </c>
      <c r="B704">
        <v>1</v>
      </c>
      <c r="D704">
        <f>ROW(EtalonRes!A426)</f>
        <v>426</v>
      </c>
      <c r="E704" t="s">
        <v>3</v>
      </c>
      <c r="F704" t="s">
        <v>263</v>
      </c>
      <c r="G704" t="s">
        <v>264</v>
      </c>
      <c r="H704" t="s">
        <v>18</v>
      </c>
      <c r="I704">
        <f>ROUND(2*4/10,9)</f>
        <v>0.8</v>
      </c>
      <c r="J704">
        <v>0</v>
      </c>
      <c r="K704">
        <f>ROUND(2*4/10,9)</f>
        <v>0.8</v>
      </c>
      <c r="O704">
        <f t="shared" si="539"/>
        <v>840.98</v>
      </c>
      <c r="P704">
        <f t="shared" si="540"/>
        <v>1.34</v>
      </c>
      <c r="Q704">
        <f t="shared" si="541"/>
        <v>3.27</v>
      </c>
      <c r="R704">
        <f t="shared" si="542"/>
        <v>0.05</v>
      </c>
      <c r="S704">
        <f t="shared" si="543"/>
        <v>836.37</v>
      </c>
      <c r="T704">
        <f t="shared" si="544"/>
        <v>0</v>
      </c>
      <c r="U704">
        <f t="shared" si="545"/>
        <v>1.4720000000000002</v>
      </c>
      <c r="V704">
        <f t="shared" si="546"/>
        <v>0</v>
      </c>
      <c r="W704">
        <f t="shared" si="547"/>
        <v>0</v>
      </c>
      <c r="X704">
        <f t="shared" si="548"/>
        <v>585.46</v>
      </c>
      <c r="Y704">
        <f t="shared" si="549"/>
        <v>83.64</v>
      </c>
      <c r="AA704">
        <v>-1</v>
      </c>
      <c r="AB704">
        <f t="shared" si="550"/>
        <v>1051.22</v>
      </c>
      <c r="AC704">
        <f>ROUND((ES704),6)</f>
        <v>1.67</v>
      </c>
      <c r="AD704">
        <f>ROUND((((ET704)-(EU704))+AE704),6)</f>
        <v>4.09</v>
      </c>
      <c r="AE704">
        <f>ROUND((EU704),6)</f>
        <v>0.06</v>
      </c>
      <c r="AF704">
        <f>ROUND((EV704),6)</f>
        <v>1045.46</v>
      </c>
      <c r="AG704">
        <f t="shared" si="551"/>
        <v>0</v>
      </c>
      <c r="AH704">
        <f>(EW704)</f>
        <v>1.84</v>
      </c>
      <c r="AI704">
        <f>(EX704)</f>
        <v>0</v>
      </c>
      <c r="AJ704">
        <f t="shared" si="552"/>
        <v>0</v>
      </c>
      <c r="AK704">
        <v>1051.22</v>
      </c>
      <c r="AL704">
        <v>1.67</v>
      </c>
      <c r="AM704">
        <v>4.09</v>
      </c>
      <c r="AN704">
        <v>0.06</v>
      </c>
      <c r="AO704">
        <v>1045.46</v>
      </c>
      <c r="AP704">
        <v>0</v>
      </c>
      <c r="AQ704">
        <v>1.84</v>
      </c>
      <c r="AR704">
        <v>0</v>
      </c>
      <c r="AS704">
        <v>0</v>
      </c>
      <c r="AT704">
        <v>70</v>
      </c>
      <c r="AU704">
        <v>10</v>
      </c>
      <c r="AV704">
        <v>1</v>
      </c>
      <c r="AW704">
        <v>1</v>
      </c>
      <c r="AZ704">
        <v>1</v>
      </c>
      <c r="BA704">
        <v>1</v>
      </c>
      <c r="BB704">
        <v>1</v>
      </c>
      <c r="BC704">
        <v>1</v>
      </c>
      <c r="BD704" t="s">
        <v>3</v>
      </c>
      <c r="BE704" t="s">
        <v>3</v>
      </c>
      <c r="BF704" t="s">
        <v>3</v>
      </c>
      <c r="BG704" t="s">
        <v>3</v>
      </c>
      <c r="BH704">
        <v>0</v>
      </c>
      <c r="BI704">
        <v>4</v>
      </c>
      <c r="BJ704" t="s">
        <v>265</v>
      </c>
      <c r="BM704">
        <v>0</v>
      </c>
      <c r="BN704">
        <v>0</v>
      </c>
      <c r="BO704" t="s">
        <v>3</v>
      </c>
      <c r="BP704">
        <v>0</v>
      </c>
      <c r="BQ704">
        <v>1</v>
      </c>
      <c r="BR704">
        <v>0</v>
      </c>
      <c r="BS704">
        <v>1</v>
      </c>
      <c r="BT704">
        <v>1</v>
      </c>
      <c r="BU704">
        <v>1</v>
      </c>
      <c r="BV704">
        <v>1</v>
      </c>
      <c r="BW704">
        <v>1</v>
      </c>
      <c r="BX704">
        <v>1</v>
      </c>
      <c r="BY704" t="s">
        <v>3</v>
      </c>
      <c r="BZ704">
        <v>70</v>
      </c>
      <c r="CA704">
        <v>10</v>
      </c>
      <c r="CB704" t="s">
        <v>3</v>
      </c>
      <c r="CE704">
        <v>0</v>
      </c>
      <c r="CF704">
        <v>0</v>
      </c>
      <c r="CG704">
        <v>0</v>
      </c>
      <c r="CM704">
        <v>0</v>
      </c>
      <c r="CN704" t="s">
        <v>3</v>
      </c>
      <c r="CO704">
        <v>0</v>
      </c>
      <c r="CP704">
        <f t="shared" si="553"/>
        <v>840.98</v>
      </c>
      <c r="CQ704">
        <f t="shared" si="554"/>
        <v>1.67</v>
      </c>
      <c r="CR704">
        <f>((((ET704)*BB704-(EU704)*BS704)+AE704*BS704)*AV704)</f>
        <v>4.09</v>
      </c>
      <c r="CS704">
        <f t="shared" si="555"/>
        <v>0.06</v>
      </c>
      <c r="CT704">
        <f t="shared" si="556"/>
        <v>1045.46</v>
      </c>
      <c r="CU704">
        <f t="shared" si="557"/>
        <v>0</v>
      </c>
      <c r="CV704">
        <f t="shared" si="558"/>
        <v>1.84</v>
      </c>
      <c r="CW704">
        <f t="shared" si="559"/>
        <v>0</v>
      </c>
      <c r="CX704">
        <f t="shared" si="560"/>
        <v>0</v>
      </c>
      <c r="CY704">
        <f t="shared" si="561"/>
        <v>585.45900000000006</v>
      </c>
      <c r="CZ704">
        <f t="shared" si="562"/>
        <v>83.637</v>
      </c>
      <c r="DC704" t="s">
        <v>3</v>
      </c>
      <c r="DD704" t="s">
        <v>3</v>
      </c>
      <c r="DE704" t="s">
        <v>3</v>
      </c>
      <c r="DF704" t="s">
        <v>3</v>
      </c>
      <c r="DG704" t="s">
        <v>3</v>
      </c>
      <c r="DH704" t="s">
        <v>3</v>
      </c>
      <c r="DI704" t="s">
        <v>3</v>
      </c>
      <c r="DJ704" t="s">
        <v>3</v>
      </c>
      <c r="DK704" t="s">
        <v>3</v>
      </c>
      <c r="DL704" t="s">
        <v>3</v>
      </c>
      <c r="DM704" t="s">
        <v>3</v>
      </c>
      <c r="DN704">
        <v>0</v>
      </c>
      <c r="DO704">
        <v>0</v>
      </c>
      <c r="DP704">
        <v>1</v>
      </c>
      <c r="DQ704">
        <v>1</v>
      </c>
      <c r="DU704">
        <v>16987630</v>
      </c>
      <c r="DV704" t="s">
        <v>18</v>
      </c>
      <c r="DW704" t="s">
        <v>18</v>
      </c>
      <c r="DX704">
        <v>10</v>
      </c>
      <c r="DZ704" t="s">
        <v>3</v>
      </c>
      <c r="EA704" t="s">
        <v>3</v>
      </c>
      <c r="EB704" t="s">
        <v>3</v>
      </c>
      <c r="EC704" t="s">
        <v>3</v>
      </c>
      <c r="EE704">
        <v>1441815344</v>
      </c>
      <c r="EF704">
        <v>1</v>
      </c>
      <c r="EG704" t="s">
        <v>21</v>
      </c>
      <c r="EH704">
        <v>0</v>
      </c>
      <c r="EI704" t="s">
        <v>3</v>
      </c>
      <c r="EJ704">
        <v>4</v>
      </c>
      <c r="EK704">
        <v>0</v>
      </c>
      <c r="EL704" t="s">
        <v>22</v>
      </c>
      <c r="EM704" t="s">
        <v>23</v>
      </c>
      <c r="EO704" t="s">
        <v>3</v>
      </c>
      <c r="EQ704">
        <v>1024</v>
      </c>
      <c r="ER704">
        <v>1051.22</v>
      </c>
      <c r="ES704">
        <v>1.67</v>
      </c>
      <c r="ET704">
        <v>4.09</v>
      </c>
      <c r="EU704">
        <v>0.06</v>
      </c>
      <c r="EV704">
        <v>1045.46</v>
      </c>
      <c r="EW704">
        <v>1.84</v>
      </c>
      <c r="EX704">
        <v>0</v>
      </c>
      <c r="EY704">
        <v>0</v>
      </c>
      <c r="FQ704">
        <v>0</v>
      </c>
      <c r="FR704">
        <f t="shared" si="563"/>
        <v>0</v>
      </c>
      <c r="FS704">
        <v>0</v>
      </c>
      <c r="FX704">
        <v>70</v>
      </c>
      <c r="FY704">
        <v>10</v>
      </c>
      <c r="GA704" t="s">
        <v>3</v>
      </c>
      <c r="GD704">
        <v>0</v>
      </c>
      <c r="GF704">
        <v>373109242</v>
      </c>
      <c r="GG704">
        <v>2</v>
      </c>
      <c r="GH704">
        <v>1</v>
      </c>
      <c r="GI704">
        <v>-2</v>
      </c>
      <c r="GJ704">
        <v>0</v>
      </c>
      <c r="GK704">
        <f>ROUND(R704*(R12)/100,2)</f>
        <v>0.05</v>
      </c>
      <c r="GL704">
        <f t="shared" si="564"/>
        <v>0</v>
      </c>
      <c r="GM704">
        <f t="shared" si="565"/>
        <v>1510.13</v>
      </c>
      <c r="GN704">
        <f t="shared" si="566"/>
        <v>0</v>
      </c>
      <c r="GO704">
        <f t="shared" si="567"/>
        <v>0</v>
      </c>
      <c r="GP704">
        <f t="shared" si="568"/>
        <v>1510.13</v>
      </c>
      <c r="GR704">
        <v>0</v>
      </c>
      <c r="GS704">
        <v>3</v>
      </c>
      <c r="GT704">
        <v>0</v>
      </c>
      <c r="GU704" t="s">
        <v>3</v>
      </c>
      <c r="GV704">
        <f t="shared" si="569"/>
        <v>0</v>
      </c>
      <c r="GW704">
        <v>1</v>
      </c>
      <c r="GX704">
        <f t="shared" si="570"/>
        <v>0</v>
      </c>
      <c r="HA704">
        <v>0</v>
      </c>
      <c r="HB704">
        <v>0</v>
      </c>
      <c r="HC704">
        <f t="shared" si="571"/>
        <v>0</v>
      </c>
      <c r="HE704" t="s">
        <v>3</v>
      </c>
      <c r="HF704" t="s">
        <v>3</v>
      </c>
      <c r="HM704" t="s">
        <v>3</v>
      </c>
      <c r="HN704" t="s">
        <v>3</v>
      </c>
      <c r="HO704" t="s">
        <v>3</v>
      </c>
      <c r="HP704" t="s">
        <v>3</v>
      </c>
      <c r="HQ704" t="s">
        <v>3</v>
      </c>
      <c r="IK704">
        <v>0</v>
      </c>
    </row>
    <row r="705" spans="1:245" x14ac:dyDescent="0.2">
      <c r="A705">
        <v>17</v>
      </c>
      <c r="B705">
        <v>1</v>
      </c>
      <c r="D705">
        <f>ROW(EtalonRes!A429)</f>
        <v>429</v>
      </c>
      <c r="E705" t="s">
        <v>3</v>
      </c>
      <c r="F705" t="s">
        <v>263</v>
      </c>
      <c r="G705" t="s">
        <v>264</v>
      </c>
      <c r="H705" t="s">
        <v>18</v>
      </c>
      <c r="I705">
        <f>ROUND(2*4/10,9)</f>
        <v>0.8</v>
      </c>
      <c r="J705">
        <v>0</v>
      </c>
      <c r="K705">
        <f>ROUND(2*4/10,9)</f>
        <v>0.8</v>
      </c>
      <c r="O705">
        <f t="shared" si="539"/>
        <v>840.98</v>
      </c>
      <c r="P705">
        <f t="shared" si="540"/>
        <v>1.34</v>
      </c>
      <c r="Q705">
        <f t="shared" si="541"/>
        <v>3.27</v>
      </c>
      <c r="R705">
        <f t="shared" si="542"/>
        <v>0.05</v>
      </c>
      <c r="S705">
        <f t="shared" si="543"/>
        <v>836.37</v>
      </c>
      <c r="T705">
        <f t="shared" si="544"/>
        <v>0</v>
      </c>
      <c r="U705">
        <f t="shared" si="545"/>
        <v>1.4720000000000002</v>
      </c>
      <c r="V705">
        <f t="shared" si="546"/>
        <v>0</v>
      </c>
      <c r="W705">
        <f t="shared" si="547"/>
        <v>0</v>
      </c>
      <c r="X705">
        <f t="shared" si="548"/>
        <v>585.46</v>
      </c>
      <c r="Y705">
        <f t="shared" si="549"/>
        <v>83.64</v>
      </c>
      <c r="AA705">
        <v>-1</v>
      </c>
      <c r="AB705">
        <f t="shared" si="550"/>
        <v>1051.22</v>
      </c>
      <c r="AC705">
        <f>ROUND((ES705),6)</f>
        <v>1.67</v>
      </c>
      <c r="AD705">
        <f>ROUND((((ET705)-(EU705))+AE705),6)</f>
        <v>4.09</v>
      </c>
      <c r="AE705">
        <f>ROUND((EU705),6)</f>
        <v>0.06</v>
      </c>
      <c r="AF705">
        <f>ROUND((EV705),6)</f>
        <v>1045.46</v>
      </c>
      <c r="AG705">
        <f t="shared" si="551"/>
        <v>0</v>
      </c>
      <c r="AH705">
        <f>(EW705)</f>
        <v>1.84</v>
      </c>
      <c r="AI705">
        <f>(EX705)</f>
        <v>0</v>
      </c>
      <c r="AJ705">
        <f t="shared" si="552"/>
        <v>0</v>
      </c>
      <c r="AK705">
        <v>1051.22</v>
      </c>
      <c r="AL705">
        <v>1.67</v>
      </c>
      <c r="AM705">
        <v>4.09</v>
      </c>
      <c r="AN705">
        <v>0.06</v>
      </c>
      <c r="AO705">
        <v>1045.46</v>
      </c>
      <c r="AP705">
        <v>0</v>
      </c>
      <c r="AQ705">
        <v>1.84</v>
      </c>
      <c r="AR705">
        <v>0</v>
      </c>
      <c r="AS705">
        <v>0</v>
      </c>
      <c r="AT705">
        <v>70</v>
      </c>
      <c r="AU705">
        <v>10</v>
      </c>
      <c r="AV705">
        <v>1</v>
      </c>
      <c r="AW705">
        <v>1</v>
      </c>
      <c r="AZ705">
        <v>1</v>
      </c>
      <c r="BA705">
        <v>1</v>
      </c>
      <c r="BB705">
        <v>1</v>
      </c>
      <c r="BC705">
        <v>1</v>
      </c>
      <c r="BD705" t="s">
        <v>3</v>
      </c>
      <c r="BE705" t="s">
        <v>3</v>
      </c>
      <c r="BF705" t="s">
        <v>3</v>
      </c>
      <c r="BG705" t="s">
        <v>3</v>
      </c>
      <c r="BH705">
        <v>0</v>
      </c>
      <c r="BI705">
        <v>4</v>
      </c>
      <c r="BJ705" t="s">
        <v>265</v>
      </c>
      <c r="BM705">
        <v>0</v>
      </c>
      <c r="BN705">
        <v>0</v>
      </c>
      <c r="BO705" t="s">
        <v>3</v>
      </c>
      <c r="BP705">
        <v>0</v>
      </c>
      <c r="BQ705">
        <v>1</v>
      </c>
      <c r="BR705">
        <v>0</v>
      </c>
      <c r="BS705">
        <v>1</v>
      </c>
      <c r="BT705">
        <v>1</v>
      </c>
      <c r="BU705">
        <v>1</v>
      </c>
      <c r="BV705">
        <v>1</v>
      </c>
      <c r="BW705">
        <v>1</v>
      </c>
      <c r="BX705">
        <v>1</v>
      </c>
      <c r="BY705" t="s">
        <v>3</v>
      </c>
      <c r="BZ705">
        <v>70</v>
      </c>
      <c r="CA705">
        <v>10</v>
      </c>
      <c r="CB705" t="s">
        <v>3</v>
      </c>
      <c r="CE705">
        <v>0</v>
      </c>
      <c r="CF705">
        <v>0</v>
      </c>
      <c r="CG705">
        <v>0</v>
      </c>
      <c r="CM705">
        <v>0</v>
      </c>
      <c r="CN705" t="s">
        <v>3</v>
      </c>
      <c r="CO705">
        <v>0</v>
      </c>
      <c r="CP705">
        <f t="shared" si="553"/>
        <v>840.98</v>
      </c>
      <c r="CQ705">
        <f t="shared" si="554"/>
        <v>1.67</v>
      </c>
      <c r="CR705">
        <f>((((ET705)*BB705-(EU705)*BS705)+AE705*BS705)*AV705)</f>
        <v>4.09</v>
      </c>
      <c r="CS705">
        <f t="shared" si="555"/>
        <v>0.06</v>
      </c>
      <c r="CT705">
        <f t="shared" si="556"/>
        <v>1045.46</v>
      </c>
      <c r="CU705">
        <f t="shared" si="557"/>
        <v>0</v>
      </c>
      <c r="CV705">
        <f t="shared" si="558"/>
        <v>1.84</v>
      </c>
      <c r="CW705">
        <f t="shared" si="559"/>
        <v>0</v>
      </c>
      <c r="CX705">
        <f t="shared" si="560"/>
        <v>0</v>
      </c>
      <c r="CY705">
        <f t="shared" si="561"/>
        <v>585.45900000000006</v>
      </c>
      <c r="CZ705">
        <f t="shared" si="562"/>
        <v>83.637</v>
      </c>
      <c r="DC705" t="s">
        <v>3</v>
      </c>
      <c r="DD705" t="s">
        <v>3</v>
      </c>
      <c r="DE705" t="s">
        <v>3</v>
      </c>
      <c r="DF705" t="s">
        <v>3</v>
      </c>
      <c r="DG705" t="s">
        <v>3</v>
      </c>
      <c r="DH705" t="s">
        <v>3</v>
      </c>
      <c r="DI705" t="s">
        <v>3</v>
      </c>
      <c r="DJ705" t="s">
        <v>3</v>
      </c>
      <c r="DK705" t="s">
        <v>3</v>
      </c>
      <c r="DL705" t="s">
        <v>3</v>
      </c>
      <c r="DM705" t="s">
        <v>3</v>
      </c>
      <c r="DN705">
        <v>0</v>
      </c>
      <c r="DO705">
        <v>0</v>
      </c>
      <c r="DP705">
        <v>1</v>
      </c>
      <c r="DQ705">
        <v>1</v>
      </c>
      <c r="DU705">
        <v>16987630</v>
      </c>
      <c r="DV705" t="s">
        <v>18</v>
      </c>
      <c r="DW705" t="s">
        <v>18</v>
      </c>
      <c r="DX705">
        <v>10</v>
      </c>
      <c r="DZ705" t="s">
        <v>3</v>
      </c>
      <c r="EA705" t="s">
        <v>3</v>
      </c>
      <c r="EB705" t="s">
        <v>3</v>
      </c>
      <c r="EC705" t="s">
        <v>3</v>
      </c>
      <c r="EE705">
        <v>1441815344</v>
      </c>
      <c r="EF705">
        <v>1</v>
      </c>
      <c r="EG705" t="s">
        <v>21</v>
      </c>
      <c r="EH705">
        <v>0</v>
      </c>
      <c r="EI705" t="s">
        <v>3</v>
      </c>
      <c r="EJ705">
        <v>4</v>
      </c>
      <c r="EK705">
        <v>0</v>
      </c>
      <c r="EL705" t="s">
        <v>22</v>
      </c>
      <c r="EM705" t="s">
        <v>23</v>
      </c>
      <c r="EO705" t="s">
        <v>3</v>
      </c>
      <c r="EQ705">
        <v>1024</v>
      </c>
      <c r="ER705">
        <v>1051.22</v>
      </c>
      <c r="ES705">
        <v>1.67</v>
      </c>
      <c r="ET705">
        <v>4.09</v>
      </c>
      <c r="EU705">
        <v>0.06</v>
      </c>
      <c r="EV705">
        <v>1045.46</v>
      </c>
      <c r="EW705">
        <v>1.84</v>
      </c>
      <c r="EX705">
        <v>0</v>
      </c>
      <c r="EY705">
        <v>0</v>
      </c>
      <c r="FQ705">
        <v>0</v>
      </c>
      <c r="FR705">
        <f t="shared" si="563"/>
        <v>0</v>
      </c>
      <c r="FS705">
        <v>0</v>
      </c>
      <c r="FX705">
        <v>70</v>
      </c>
      <c r="FY705">
        <v>10</v>
      </c>
      <c r="GA705" t="s">
        <v>3</v>
      </c>
      <c r="GD705">
        <v>0</v>
      </c>
      <c r="GF705">
        <v>373109242</v>
      </c>
      <c r="GG705">
        <v>2</v>
      </c>
      <c r="GH705">
        <v>1</v>
      </c>
      <c r="GI705">
        <v>-2</v>
      </c>
      <c r="GJ705">
        <v>0</v>
      </c>
      <c r="GK705">
        <f>ROUND(R705*(R12)/100,2)</f>
        <v>0.05</v>
      </c>
      <c r="GL705">
        <f t="shared" si="564"/>
        <v>0</v>
      </c>
      <c r="GM705">
        <f t="shared" si="565"/>
        <v>1510.13</v>
      </c>
      <c r="GN705">
        <f t="shared" si="566"/>
        <v>0</v>
      </c>
      <c r="GO705">
        <f t="shared" si="567"/>
        <v>0</v>
      </c>
      <c r="GP705">
        <f t="shared" si="568"/>
        <v>1510.13</v>
      </c>
      <c r="GR705">
        <v>0</v>
      </c>
      <c r="GS705">
        <v>3</v>
      </c>
      <c r="GT705">
        <v>0</v>
      </c>
      <c r="GU705" t="s">
        <v>3</v>
      </c>
      <c r="GV705">
        <f t="shared" si="569"/>
        <v>0</v>
      </c>
      <c r="GW705">
        <v>1</v>
      </c>
      <c r="GX705">
        <f t="shared" si="570"/>
        <v>0</v>
      </c>
      <c r="HA705">
        <v>0</v>
      </c>
      <c r="HB705">
        <v>0</v>
      </c>
      <c r="HC705">
        <f t="shared" si="571"/>
        <v>0</v>
      </c>
      <c r="HE705" t="s">
        <v>3</v>
      </c>
      <c r="HF705" t="s">
        <v>3</v>
      </c>
      <c r="HM705" t="s">
        <v>3</v>
      </c>
      <c r="HN705" t="s">
        <v>3</v>
      </c>
      <c r="HO705" t="s">
        <v>3</v>
      </c>
      <c r="HP705" t="s">
        <v>3</v>
      </c>
      <c r="HQ705" t="s">
        <v>3</v>
      </c>
      <c r="IK705">
        <v>0</v>
      </c>
    </row>
    <row r="706" spans="1:245" x14ac:dyDescent="0.2">
      <c r="A706">
        <v>17</v>
      </c>
      <c r="B706">
        <v>1</v>
      </c>
      <c r="D706">
        <f>ROW(EtalonRes!A432)</f>
        <v>432</v>
      </c>
      <c r="E706" t="s">
        <v>3</v>
      </c>
      <c r="F706" t="s">
        <v>267</v>
      </c>
      <c r="G706" t="s">
        <v>268</v>
      </c>
      <c r="H706" t="s">
        <v>18</v>
      </c>
      <c r="I706">
        <f>ROUND(2*4/10,9)</f>
        <v>0.8</v>
      </c>
      <c r="J706">
        <v>0</v>
      </c>
      <c r="K706">
        <f>ROUND(2*4/10,9)</f>
        <v>0.8</v>
      </c>
      <c r="O706">
        <f t="shared" si="539"/>
        <v>462.8</v>
      </c>
      <c r="P706">
        <f t="shared" si="540"/>
        <v>1.24</v>
      </c>
      <c r="Q706">
        <f t="shared" si="541"/>
        <v>2.96</v>
      </c>
      <c r="R706">
        <f t="shared" si="542"/>
        <v>0.04</v>
      </c>
      <c r="S706">
        <f t="shared" si="543"/>
        <v>458.6</v>
      </c>
      <c r="T706">
        <f t="shared" si="544"/>
        <v>0</v>
      </c>
      <c r="U706">
        <f t="shared" si="545"/>
        <v>0.8</v>
      </c>
      <c r="V706">
        <f t="shared" si="546"/>
        <v>0</v>
      </c>
      <c r="W706">
        <f t="shared" si="547"/>
        <v>0</v>
      </c>
      <c r="X706">
        <f t="shared" si="548"/>
        <v>321.02</v>
      </c>
      <c r="Y706">
        <f t="shared" si="549"/>
        <v>45.86</v>
      </c>
      <c r="AA706">
        <v>-1</v>
      </c>
      <c r="AB706">
        <f t="shared" si="550"/>
        <v>578.5</v>
      </c>
      <c r="AC706">
        <f>ROUND(((ES706*5)),6)</f>
        <v>1.55</v>
      </c>
      <c r="AD706">
        <f>ROUND(((((ET706*5))-((EU706*5)))+AE706),6)</f>
        <v>3.7</v>
      </c>
      <c r="AE706">
        <f>ROUND(((EU706*5)),6)</f>
        <v>0.05</v>
      </c>
      <c r="AF706">
        <f>ROUND(((EV706*5)),6)</f>
        <v>573.25</v>
      </c>
      <c r="AG706">
        <f t="shared" si="551"/>
        <v>0</v>
      </c>
      <c r="AH706">
        <f>((EW706*5))</f>
        <v>1</v>
      </c>
      <c r="AI706">
        <f>((EX706*5))</f>
        <v>0</v>
      </c>
      <c r="AJ706">
        <f t="shared" si="552"/>
        <v>0</v>
      </c>
      <c r="AK706">
        <v>115.7</v>
      </c>
      <c r="AL706">
        <v>0.31</v>
      </c>
      <c r="AM706">
        <v>0.74</v>
      </c>
      <c r="AN706">
        <v>0.01</v>
      </c>
      <c r="AO706">
        <v>114.65</v>
      </c>
      <c r="AP706">
        <v>0</v>
      </c>
      <c r="AQ706">
        <v>0.2</v>
      </c>
      <c r="AR706">
        <v>0</v>
      </c>
      <c r="AS706">
        <v>0</v>
      </c>
      <c r="AT706">
        <v>70</v>
      </c>
      <c r="AU706">
        <v>10</v>
      </c>
      <c r="AV706">
        <v>1</v>
      </c>
      <c r="AW706">
        <v>1</v>
      </c>
      <c r="AZ706">
        <v>1</v>
      </c>
      <c r="BA706">
        <v>1</v>
      </c>
      <c r="BB706">
        <v>1</v>
      </c>
      <c r="BC706">
        <v>1</v>
      </c>
      <c r="BD706" t="s">
        <v>3</v>
      </c>
      <c r="BE706" t="s">
        <v>3</v>
      </c>
      <c r="BF706" t="s">
        <v>3</v>
      </c>
      <c r="BG706" t="s">
        <v>3</v>
      </c>
      <c r="BH706">
        <v>0</v>
      </c>
      <c r="BI706">
        <v>4</v>
      </c>
      <c r="BJ706" t="s">
        <v>269</v>
      </c>
      <c r="BM706">
        <v>0</v>
      </c>
      <c r="BN706">
        <v>0</v>
      </c>
      <c r="BO706" t="s">
        <v>3</v>
      </c>
      <c r="BP706">
        <v>0</v>
      </c>
      <c r="BQ706">
        <v>1</v>
      </c>
      <c r="BR706">
        <v>0</v>
      </c>
      <c r="BS706">
        <v>1</v>
      </c>
      <c r="BT706">
        <v>1</v>
      </c>
      <c r="BU706">
        <v>1</v>
      </c>
      <c r="BV706">
        <v>1</v>
      </c>
      <c r="BW706">
        <v>1</v>
      </c>
      <c r="BX706">
        <v>1</v>
      </c>
      <c r="BY706" t="s">
        <v>3</v>
      </c>
      <c r="BZ706">
        <v>70</v>
      </c>
      <c r="CA706">
        <v>10</v>
      </c>
      <c r="CB706" t="s">
        <v>3</v>
      </c>
      <c r="CE706">
        <v>0</v>
      </c>
      <c r="CF706">
        <v>0</v>
      </c>
      <c r="CG706">
        <v>0</v>
      </c>
      <c r="CM706">
        <v>0</v>
      </c>
      <c r="CN706" t="s">
        <v>3</v>
      </c>
      <c r="CO706">
        <v>0</v>
      </c>
      <c r="CP706">
        <f t="shared" si="553"/>
        <v>462.8</v>
      </c>
      <c r="CQ706">
        <f t="shared" si="554"/>
        <v>1.55</v>
      </c>
      <c r="CR706">
        <f>(((((ET706*5))*BB706-((EU706*5))*BS706)+AE706*BS706)*AV706)</f>
        <v>3.7</v>
      </c>
      <c r="CS706">
        <f t="shared" si="555"/>
        <v>0.05</v>
      </c>
      <c r="CT706">
        <f t="shared" si="556"/>
        <v>573.25</v>
      </c>
      <c r="CU706">
        <f t="shared" si="557"/>
        <v>0</v>
      </c>
      <c r="CV706">
        <f t="shared" si="558"/>
        <v>1</v>
      </c>
      <c r="CW706">
        <f t="shared" si="559"/>
        <v>0</v>
      </c>
      <c r="CX706">
        <f t="shared" si="560"/>
        <v>0</v>
      </c>
      <c r="CY706">
        <f t="shared" si="561"/>
        <v>321.02</v>
      </c>
      <c r="CZ706">
        <f t="shared" si="562"/>
        <v>45.86</v>
      </c>
      <c r="DC706" t="s">
        <v>3</v>
      </c>
      <c r="DD706" t="s">
        <v>152</v>
      </c>
      <c r="DE706" t="s">
        <v>152</v>
      </c>
      <c r="DF706" t="s">
        <v>152</v>
      </c>
      <c r="DG706" t="s">
        <v>152</v>
      </c>
      <c r="DH706" t="s">
        <v>3</v>
      </c>
      <c r="DI706" t="s">
        <v>152</v>
      </c>
      <c r="DJ706" t="s">
        <v>152</v>
      </c>
      <c r="DK706" t="s">
        <v>3</v>
      </c>
      <c r="DL706" t="s">
        <v>3</v>
      </c>
      <c r="DM706" t="s">
        <v>3</v>
      </c>
      <c r="DN706">
        <v>0</v>
      </c>
      <c r="DO706">
        <v>0</v>
      </c>
      <c r="DP706">
        <v>1</v>
      </c>
      <c r="DQ706">
        <v>1</v>
      </c>
      <c r="DU706">
        <v>16987630</v>
      </c>
      <c r="DV706" t="s">
        <v>18</v>
      </c>
      <c r="DW706" t="s">
        <v>18</v>
      </c>
      <c r="DX706">
        <v>10</v>
      </c>
      <c r="DZ706" t="s">
        <v>3</v>
      </c>
      <c r="EA706" t="s">
        <v>3</v>
      </c>
      <c r="EB706" t="s">
        <v>3</v>
      </c>
      <c r="EC706" t="s">
        <v>3</v>
      </c>
      <c r="EE706">
        <v>1441815344</v>
      </c>
      <c r="EF706">
        <v>1</v>
      </c>
      <c r="EG706" t="s">
        <v>21</v>
      </c>
      <c r="EH706">
        <v>0</v>
      </c>
      <c r="EI706" t="s">
        <v>3</v>
      </c>
      <c r="EJ706">
        <v>4</v>
      </c>
      <c r="EK706">
        <v>0</v>
      </c>
      <c r="EL706" t="s">
        <v>22</v>
      </c>
      <c r="EM706" t="s">
        <v>23</v>
      </c>
      <c r="EO706" t="s">
        <v>3</v>
      </c>
      <c r="EQ706">
        <v>1024</v>
      </c>
      <c r="ER706">
        <v>115.7</v>
      </c>
      <c r="ES706">
        <v>0.31</v>
      </c>
      <c r="ET706">
        <v>0.74</v>
      </c>
      <c r="EU706">
        <v>0.01</v>
      </c>
      <c r="EV706">
        <v>114.65</v>
      </c>
      <c r="EW706">
        <v>0.2</v>
      </c>
      <c r="EX706">
        <v>0</v>
      </c>
      <c r="EY706">
        <v>0</v>
      </c>
      <c r="FQ706">
        <v>0</v>
      </c>
      <c r="FR706">
        <f t="shared" si="563"/>
        <v>0</v>
      </c>
      <c r="FS706">
        <v>0</v>
      </c>
      <c r="FX706">
        <v>70</v>
      </c>
      <c r="FY706">
        <v>10</v>
      </c>
      <c r="GA706" t="s">
        <v>3</v>
      </c>
      <c r="GD706">
        <v>0</v>
      </c>
      <c r="GF706">
        <v>-565925046</v>
      </c>
      <c r="GG706">
        <v>2</v>
      </c>
      <c r="GH706">
        <v>1</v>
      </c>
      <c r="GI706">
        <v>-2</v>
      </c>
      <c r="GJ706">
        <v>0</v>
      </c>
      <c r="GK706">
        <f>ROUND(R706*(R12)/100,2)</f>
        <v>0.04</v>
      </c>
      <c r="GL706">
        <f t="shared" si="564"/>
        <v>0</v>
      </c>
      <c r="GM706">
        <f t="shared" si="565"/>
        <v>829.72</v>
      </c>
      <c r="GN706">
        <f t="shared" si="566"/>
        <v>0</v>
      </c>
      <c r="GO706">
        <f t="shared" si="567"/>
        <v>0</v>
      </c>
      <c r="GP706">
        <f t="shared" si="568"/>
        <v>829.72</v>
      </c>
      <c r="GR706">
        <v>0</v>
      </c>
      <c r="GS706">
        <v>3</v>
      </c>
      <c r="GT706">
        <v>0</v>
      </c>
      <c r="GU706" t="s">
        <v>3</v>
      </c>
      <c r="GV706">
        <f t="shared" si="569"/>
        <v>0</v>
      </c>
      <c r="GW706">
        <v>1</v>
      </c>
      <c r="GX706">
        <f t="shared" si="570"/>
        <v>0</v>
      </c>
      <c r="HA706">
        <v>0</v>
      </c>
      <c r="HB706">
        <v>0</v>
      </c>
      <c r="HC706">
        <f t="shared" si="571"/>
        <v>0</v>
      </c>
      <c r="HE706" t="s">
        <v>3</v>
      </c>
      <c r="HF706" t="s">
        <v>3</v>
      </c>
      <c r="HM706" t="s">
        <v>3</v>
      </c>
      <c r="HN706" t="s">
        <v>3</v>
      </c>
      <c r="HO706" t="s">
        <v>3</v>
      </c>
      <c r="HP706" t="s">
        <v>3</v>
      </c>
      <c r="HQ706" t="s">
        <v>3</v>
      </c>
      <c r="IK706">
        <v>0</v>
      </c>
    </row>
    <row r="707" spans="1:245" x14ac:dyDescent="0.2">
      <c r="A707">
        <v>17</v>
      </c>
      <c r="B707">
        <v>1</v>
      </c>
      <c r="D707">
        <f>ROW(EtalonRes!A435)</f>
        <v>435</v>
      </c>
      <c r="E707" t="s">
        <v>3</v>
      </c>
      <c r="F707" t="s">
        <v>185</v>
      </c>
      <c r="G707" t="s">
        <v>186</v>
      </c>
      <c r="H707" t="s">
        <v>31</v>
      </c>
      <c r="I707">
        <f>ROUND((3*13)/100,9)</f>
        <v>0.39</v>
      </c>
      <c r="J707">
        <v>0</v>
      </c>
      <c r="K707">
        <f>ROUND((3*13)/100,9)</f>
        <v>0.39</v>
      </c>
      <c r="O707">
        <f t="shared" si="539"/>
        <v>21644.94</v>
      </c>
      <c r="P707">
        <f t="shared" si="540"/>
        <v>3907.04</v>
      </c>
      <c r="Q707">
        <f t="shared" si="541"/>
        <v>0</v>
      </c>
      <c r="R707">
        <f t="shared" si="542"/>
        <v>0</v>
      </c>
      <c r="S707">
        <f t="shared" si="543"/>
        <v>17737.900000000001</v>
      </c>
      <c r="T707">
        <f t="shared" si="544"/>
        <v>0</v>
      </c>
      <c r="U707">
        <f t="shared" si="545"/>
        <v>54.463499999999996</v>
      </c>
      <c r="V707">
        <f t="shared" si="546"/>
        <v>0</v>
      </c>
      <c r="W707">
        <f t="shared" si="547"/>
        <v>0</v>
      </c>
      <c r="X707">
        <f t="shared" si="548"/>
        <v>12416.53</v>
      </c>
      <c r="Y707">
        <f t="shared" si="549"/>
        <v>1773.79</v>
      </c>
      <c r="AA707">
        <v>-1</v>
      </c>
      <c r="AB707">
        <f t="shared" si="550"/>
        <v>55499.85</v>
      </c>
      <c r="AC707">
        <f>ROUND(((ES707*245)),6)</f>
        <v>10018.049999999999</v>
      </c>
      <c r="AD707">
        <f t="shared" ref="AD707:AD712" si="572">ROUND((((ET707)-(EU707))+AE707),6)</f>
        <v>0</v>
      </c>
      <c r="AE707">
        <f t="shared" ref="AE707:AE712" si="573">ROUND((EU707),6)</f>
        <v>0</v>
      </c>
      <c r="AF707">
        <f>ROUND(((EV707*245)),6)</f>
        <v>45481.8</v>
      </c>
      <c r="AG707">
        <f t="shared" si="551"/>
        <v>0</v>
      </c>
      <c r="AH707">
        <f>((EW707*245))</f>
        <v>139.64999999999998</v>
      </c>
      <c r="AI707">
        <f t="shared" ref="AI707:AI712" si="574">(EX707)</f>
        <v>0</v>
      </c>
      <c r="AJ707">
        <f t="shared" si="552"/>
        <v>0</v>
      </c>
      <c r="AK707">
        <v>226.53</v>
      </c>
      <c r="AL707">
        <v>40.89</v>
      </c>
      <c r="AM707">
        <v>0</v>
      </c>
      <c r="AN707">
        <v>0</v>
      </c>
      <c r="AO707">
        <v>185.64</v>
      </c>
      <c r="AP707">
        <v>0</v>
      </c>
      <c r="AQ707">
        <v>0.56999999999999995</v>
      </c>
      <c r="AR707">
        <v>0</v>
      </c>
      <c r="AS707">
        <v>0</v>
      </c>
      <c r="AT707">
        <v>70</v>
      </c>
      <c r="AU707">
        <v>10</v>
      </c>
      <c r="AV707">
        <v>1</v>
      </c>
      <c r="AW707">
        <v>1</v>
      </c>
      <c r="AZ707">
        <v>1</v>
      </c>
      <c r="BA707">
        <v>1</v>
      </c>
      <c r="BB707">
        <v>1</v>
      </c>
      <c r="BC707">
        <v>1</v>
      </c>
      <c r="BD707" t="s">
        <v>3</v>
      </c>
      <c r="BE707" t="s">
        <v>3</v>
      </c>
      <c r="BF707" t="s">
        <v>3</v>
      </c>
      <c r="BG707" t="s">
        <v>3</v>
      </c>
      <c r="BH707">
        <v>0</v>
      </c>
      <c r="BI707">
        <v>4</v>
      </c>
      <c r="BJ707" t="s">
        <v>187</v>
      </c>
      <c r="BM707">
        <v>0</v>
      </c>
      <c r="BN707">
        <v>0</v>
      </c>
      <c r="BO707" t="s">
        <v>3</v>
      </c>
      <c r="BP707">
        <v>0</v>
      </c>
      <c r="BQ707">
        <v>1</v>
      </c>
      <c r="BR707">
        <v>0</v>
      </c>
      <c r="BS707">
        <v>1</v>
      </c>
      <c r="BT707">
        <v>1</v>
      </c>
      <c r="BU707">
        <v>1</v>
      </c>
      <c r="BV707">
        <v>1</v>
      </c>
      <c r="BW707">
        <v>1</v>
      </c>
      <c r="BX707">
        <v>1</v>
      </c>
      <c r="BY707" t="s">
        <v>3</v>
      </c>
      <c r="BZ707">
        <v>70</v>
      </c>
      <c r="CA707">
        <v>10</v>
      </c>
      <c r="CB707" t="s">
        <v>3</v>
      </c>
      <c r="CE707">
        <v>0</v>
      </c>
      <c r="CF707">
        <v>0</v>
      </c>
      <c r="CG707">
        <v>0</v>
      </c>
      <c r="CM707">
        <v>0</v>
      </c>
      <c r="CN707" t="s">
        <v>3</v>
      </c>
      <c r="CO707">
        <v>0</v>
      </c>
      <c r="CP707">
        <f t="shared" si="553"/>
        <v>21644.940000000002</v>
      </c>
      <c r="CQ707">
        <f t="shared" si="554"/>
        <v>10018.049999999999</v>
      </c>
      <c r="CR707">
        <f t="shared" ref="CR707:CR712" si="575">((((ET707)*BB707-(EU707)*BS707)+AE707*BS707)*AV707)</f>
        <v>0</v>
      </c>
      <c r="CS707">
        <f t="shared" si="555"/>
        <v>0</v>
      </c>
      <c r="CT707">
        <f t="shared" si="556"/>
        <v>45481.8</v>
      </c>
      <c r="CU707">
        <f t="shared" si="557"/>
        <v>0</v>
      </c>
      <c r="CV707">
        <f t="shared" si="558"/>
        <v>139.64999999999998</v>
      </c>
      <c r="CW707">
        <f t="shared" si="559"/>
        <v>0</v>
      </c>
      <c r="CX707">
        <f t="shared" si="560"/>
        <v>0</v>
      </c>
      <c r="CY707">
        <f t="shared" si="561"/>
        <v>12416.53</v>
      </c>
      <c r="CZ707">
        <f t="shared" si="562"/>
        <v>1773.79</v>
      </c>
      <c r="DC707" t="s">
        <v>3</v>
      </c>
      <c r="DD707" t="s">
        <v>82</v>
      </c>
      <c r="DE707" t="s">
        <v>3</v>
      </c>
      <c r="DF707" t="s">
        <v>3</v>
      </c>
      <c r="DG707" t="s">
        <v>82</v>
      </c>
      <c r="DH707" t="s">
        <v>3</v>
      </c>
      <c r="DI707" t="s">
        <v>82</v>
      </c>
      <c r="DJ707" t="s">
        <v>3</v>
      </c>
      <c r="DK707" t="s">
        <v>3</v>
      </c>
      <c r="DL707" t="s">
        <v>3</v>
      </c>
      <c r="DM707" t="s">
        <v>3</v>
      </c>
      <c r="DN707">
        <v>0</v>
      </c>
      <c r="DO707">
        <v>0</v>
      </c>
      <c r="DP707">
        <v>1</v>
      </c>
      <c r="DQ707">
        <v>1</v>
      </c>
      <c r="DU707">
        <v>16987630</v>
      </c>
      <c r="DV707" t="s">
        <v>31</v>
      </c>
      <c r="DW707" t="s">
        <v>31</v>
      </c>
      <c r="DX707">
        <v>100</v>
      </c>
      <c r="DZ707" t="s">
        <v>3</v>
      </c>
      <c r="EA707" t="s">
        <v>3</v>
      </c>
      <c r="EB707" t="s">
        <v>3</v>
      </c>
      <c r="EC707" t="s">
        <v>3</v>
      </c>
      <c r="EE707">
        <v>1441815344</v>
      </c>
      <c r="EF707">
        <v>1</v>
      </c>
      <c r="EG707" t="s">
        <v>21</v>
      </c>
      <c r="EH707">
        <v>0</v>
      </c>
      <c r="EI707" t="s">
        <v>3</v>
      </c>
      <c r="EJ707">
        <v>4</v>
      </c>
      <c r="EK707">
        <v>0</v>
      </c>
      <c r="EL707" t="s">
        <v>22</v>
      </c>
      <c r="EM707" t="s">
        <v>23</v>
      </c>
      <c r="EO707" t="s">
        <v>3</v>
      </c>
      <c r="EQ707">
        <v>1024</v>
      </c>
      <c r="ER707">
        <v>226.53</v>
      </c>
      <c r="ES707">
        <v>40.89</v>
      </c>
      <c r="ET707">
        <v>0</v>
      </c>
      <c r="EU707">
        <v>0</v>
      </c>
      <c r="EV707">
        <v>185.64</v>
      </c>
      <c r="EW707">
        <v>0.56999999999999995</v>
      </c>
      <c r="EX707">
        <v>0</v>
      </c>
      <c r="EY707">
        <v>0</v>
      </c>
      <c r="FQ707">
        <v>0</v>
      </c>
      <c r="FR707">
        <f t="shared" si="563"/>
        <v>0</v>
      </c>
      <c r="FS707">
        <v>0</v>
      </c>
      <c r="FX707">
        <v>70</v>
      </c>
      <c r="FY707">
        <v>10</v>
      </c>
      <c r="GA707" t="s">
        <v>3</v>
      </c>
      <c r="GD707">
        <v>0</v>
      </c>
      <c r="GF707">
        <v>1227685482</v>
      </c>
      <c r="GG707">
        <v>2</v>
      </c>
      <c r="GH707">
        <v>1</v>
      </c>
      <c r="GI707">
        <v>-2</v>
      </c>
      <c r="GJ707">
        <v>0</v>
      </c>
      <c r="GK707">
        <f>ROUND(R707*(R12)/100,2)</f>
        <v>0</v>
      </c>
      <c r="GL707">
        <f t="shared" si="564"/>
        <v>0</v>
      </c>
      <c r="GM707">
        <f t="shared" si="565"/>
        <v>35835.26</v>
      </c>
      <c r="GN707">
        <f t="shared" si="566"/>
        <v>0</v>
      </c>
      <c r="GO707">
        <f t="shared" si="567"/>
        <v>0</v>
      </c>
      <c r="GP707">
        <f t="shared" si="568"/>
        <v>35835.26</v>
      </c>
      <c r="GR707">
        <v>0</v>
      </c>
      <c r="GS707">
        <v>3</v>
      </c>
      <c r="GT707">
        <v>0</v>
      </c>
      <c r="GU707" t="s">
        <v>3</v>
      </c>
      <c r="GV707">
        <f t="shared" si="569"/>
        <v>0</v>
      </c>
      <c r="GW707">
        <v>1</v>
      </c>
      <c r="GX707">
        <f t="shared" si="570"/>
        <v>0</v>
      </c>
      <c r="HA707">
        <v>0</v>
      </c>
      <c r="HB707">
        <v>0</v>
      </c>
      <c r="HC707">
        <f t="shared" si="571"/>
        <v>0</v>
      </c>
      <c r="HE707" t="s">
        <v>3</v>
      </c>
      <c r="HF707" t="s">
        <v>3</v>
      </c>
      <c r="HM707" t="s">
        <v>3</v>
      </c>
      <c r="HN707" t="s">
        <v>3</v>
      </c>
      <c r="HO707" t="s">
        <v>3</v>
      </c>
      <c r="HP707" t="s">
        <v>3</v>
      </c>
      <c r="HQ707" t="s">
        <v>3</v>
      </c>
      <c r="IK707">
        <v>0</v>
      </c>
    </row>
    <row r="708" spans="1:245" x14ac:dyDescent="0.2">
      <c r="A708">
        <v>17</v>
      </c>
      <c r="B708">
        <v>1</v>
      </c>
      <c r="D708">
        <f>ROW(EtalonRes!A437)</f>
        <v>437</v>
      </c>
      <c r="E708" t="s">
        <v>3</v>
      </c>
      <c r="F708" t="s">
        <v>189</v>
      </c>
      <c r="G708" t="s">
        <v>190</v>
      </c>
      <c r="H708" t="s">
        <v>39</v>
      </c>
      <c r="I708">
        <f>ROUND(3*13,9)</f>
        <v>39</v>
      </c>
      <c r="J708">
        <v>0</v>
      </c>
      <c r="K708">
        <f>ROUND(3*13,9)</f>
        <v>39</v>
      </c>
      <c r="O708">
        <f t="shared" si="539"/>
        <v>7043.01</v>
      </c>
      <c r="P708">
        <f t="shared" si="540"/>
        <v>322.14</v>
      </c>
      <c r="Q708">
        <f t="shared" si="541"/>
        <v>0</v>
      </c>
      <c r="R708">
        <f t="shared" si="542"/>
        <v>0</v>
      </c>
      <c r="S708">
        <f t="shared" si="543"/>
        <v>6720.87</v>
      </c>
      <c r="T708">
        <f t="shared" si="544"/>
        <v>0</v>
      </c>
      <c r="U708">
        <f t="shared" si="545"/>
        <v>13.260000000000002</v>
      </c>
      <c r="V708">
        <f t="shared" si="546"/>
        <v>0</v>
      </c>
      <c r="W708">
        <f t="shared" si="547"/>
        <v>0</v>
      </c>
      <c r="X708">
        <f t="shared" si="548"/>
        <v>4704.6099999999997</v>
      </c>
      <c r="Y708">
        <f t="shared" si="549"/>
        <v>672.09</v>
      </c>
      <c r="AA708">
        <v>-1</v>
      </c>
      <c r="AB708">
        <f t="shared" si="550"/>
        <v>180.59</v>
      </c>
      <c r="AC708">
        <f>ROUND((ES708),6)</f>
        <v>8.26</v>
      </c>
      <c r="AD708">
        <f t="shared" si="572"/>
        <v>0</v>
      </c>
      <c r="AE708">
        <f t="shared" si="573"/>
        <v>0</v>
      </c>
      <c r="AF708">
        <f>ROUND((EV708),6)</f>
        <v>172.33</v>
      </c>
      <c r="AG708">
        <f t="shared" si="551"/>
        <v>0</v>
      </c>
      <c r="AH708">
        <f>(EW708)</f>
        <v>0.34</v>
      </c>
      <c r="AI708">
        <f t="shared" si="574"/>
        <v>0</v>
      </c>
      <c r="AJ708">
        <f t="shared" si="552"/>
        <v>0</v>
      </c>
      <c r="AK708">
        <v>180.59</v>
      </c>
      <c r="AL708">
        <v>8.26</v>
      </c>
      <c r="AM708">
        <v>0</v>
      </c>
      <c r="AN708">
        <v>0</v>
      </c>
      <c r="AO708">
        <v>172.33</v>
      </c>
      <c r="AP708">
        <v>0</v>
      </c>
      <c r="AQ708">
        <v>0.34</v>
      </c>
      <c r="AR708">
        <v>0</v>
      </c>
      <c r="AS708">
        <v>0</v>
      </c>
      <c r="AT708">
        <v>70</v>
      </c>
      <c r="AU708">
        <v>10</v>
      </c>
      <c r="AV708">
        <v>1</v>
      </c>
      <c r="AW708">
        <v>1</v>
      </c>
      <c r="AZ708">
        <v>1</v>
      </c>
      <c r="BA708">
        <v>1</v>
      </c>
      <c r="BB708">
        <v>1</v>
      </c>
      <c r="BC708">
        <v>1</v>
      </c>
      <c r="BD708" t="s">
        <v>3</v>
      </c>
      <c r="BE708" t="s">
        <v>3</v>
      </c>
      <c r="BF708" t="s">
        <v>3</v>
      </c>
      <c r="BG708" t="s">
        <v>3</v>
      </c>
      <c r="BH708">
        <v>0</v>
      </c>
      <c r="BI708">
        <v>4</v>
      </c>
      <c r="BJ708" t="s">
        <v>191</v>
      </c>
      <c r="BM708">
        <v>0</v>
      </c>
      <c r="BN708">
        <v>0</v>
      </c>
      <c r="BO708" t="s">
        <v>3</v>
      </c>
      <c r="BP708">
        <v>0</v>
      </c>
      <c r="BQ708">
        <v>1</v>
      </c>
      <c r="BR708">
        <v>0</v>
      </c>
      <c r="BS708">
        <v>1</v>
      </c>
      <c r="BT708">
        <v>1</v>
      </c>
      <c r="BU708">
        <v>1</v>
      </c>
      <c r="BV708">
        <v>1</v>
      </c>
      <c r="BW708">
        <v>1</v>
      </c>
      <c r="BX708">
        <v>1</v>
      </c>
      <c r="BY708" t="s">
        <v>3</v>
      </c>
      <c r="BZ708">
        <v>70</v>
      </c>
      <c r="CA708">
        <v>10</v>
      </c>
      <c r="CB708" t="s">
        <v>3</v>
      </c>
      <c r="CE708">
        <v>0</v>
      </c>
      <c r="CF708">
        <v>0</v>
      </c>
      <c r="CG708">
        <v>0</v>
      </c>
      <c r="CM708">
        <v>0</v>
      </c>
      <c r="CN708" t="s">
        <v>3</v>
      </c>
      <c r="CO708">
        <v>0</v>
      </c>
      <c r="CP708">
        <f t="shared" si="553"/>
        <v>7043.01</v>
      </c>
      <c r="CQ708">
        <f t="shared" si="554"/>
        <v>8.26</v>
      </c>
      <c r="CR708">
        <f t="shared" si="575"/>
        <v>0</v>
      </c>
      <c r="CS708">
        <f t="shared" si="555"/>
        <v>0</v>
      </c>
      <c r="CT708">
        <f t="shared" si="556"/>
        <v>172.33</v>
      </c>
      <c r="CU708">
        <f t="shared" si="557"/>
        <v>0</v>
      </c>
      <c r="CV708">
        <f t="shared" si="558"/>
        <v>0.34</v>
      </c>
      <c r="CW708">
        <f t="shared" si="559"/>
        <v>0</v>
      </c>
      <c r="CX708">
        <f t="shared" si="560"/>
        <v>0</v>
      </c>
      <c r="CY708">
        <f t="shared" si="561"/>
        <v>4704.6089999999995</v>
      </c>
      <c r="CZ708">
        <f t="shared" si="562"/>
        <v>672.08699999999999</v>
      </c>
      <c r="DC708" t="s">
        <v>3</v>
      </c>
      <c r="DD708" t="s">
        <v>3</v>
      </c>
      <c r="DE708" t="s">
        <v>3</v>
      </c>
      <c r="DF708" t="s">
        <v>3</v>
      </c>
      <c r="DG708" t="s">
        <v>3</v>
      </c>
      <c r="DH708" t="s">
        <v>3</v>
      </c>
      <c r="DI708" t="s">
        <v>3</v>
      </c>
      <c r="DJ708" t="s">
        <v>3</v>
      </c>
      <c r="DK708" t="s">
        <v>3</v>
      </c>
      <c r="DL708" t="s">
        <v>3</v>
      </c>
      <c r="DM708" t="s">
        <v>3</v>
      </c>
      <c r="DN708">
        <v>0</v>
      </c>
      <c r="DO708">
        <v>0</v>
      </c>
      <c r="DP708">
        <v>1</v>
      </c>
      <c r="DQ708">
        <v>1</v>
      </c>
      <c r="DU708">
        <v>16987630</v>
      </c>
      <c r="DV708" t="s">
        <v>39</v>
      </c>
      <c r="DW708" t="s">
        <v>39</v>
      </c>
      <c r="DX708">
        <v>1</v>
      </c>
      <c r="DZ708" t="s">
        <v>3</v>
      </c>
      <c r="EA708" t="s">
        <v>3</v>
      </c>
      <c r="EB708" t="s">
        <v>3</v>
      </c>
      <c r="EC708" t="s">
        <v>3</v>
      </c>
      <c r="EE708">
        <v>1441815344</v>
      </c>
      <c r="EF708">
        <v>1</v>
      </c>
      <c r="EG708" t="s">
        <v>21</v>
      </c>
      <c r="EH708">
        <v>0</v>
      </c>
      <c r="EI708" t="s">
        <v>3</v>
      </c>
      <c r="EJ708">
        <v>4</v>
      </c>
      <c r="EK708">
        <v>0</v>
      </c>
      <c r="EL708" t="s">
        <v>22</v>
      </c>
      <c r="EM708" t="s">
        <v>23</v>
      </c>
      <c r="EO708" t="s">
        <v>3</v>
      </c>
      <c r="EQ708">
        <v>1024</v>
      </c>
      <c r="ER708">
        <v>180.59</v>
      </c>
      <c r="ES708">
        <v>8.26</v>
      </c>
      <c r="ET708">
        <v>0</v>
      </c>
      <c r="EU708">
        <v>0</v>
      </c>
      <c r="EV708">
        <v>172.33</v>
      </c>
      <c r="EW708">
        <v>0.34</v>
      </c>
      <c r="EX708">
        <v>0</v>
      </c>
      <c r="EY708">
        <v>0</v>
      </c>
      <c r="FQ708">
        <v>0</v>
      </c>
      <c r="FR708">
        <f t="shared" si="563"/>
        <v>0</v>
      </c>
      <c r="FS708">
        <v>0</v>
      </c>
      <c r="FX708">
        <v>70</v>
      </c>
      <c r="FY708">
        <v>10</v>
      </c>
      <c r="GA708" t="s">
        <v>3</v>
      </c>
      <c r="GD708">
        <v>0</v>
      </c>
      <c r="GF708">
        <v>771280347</v>
      </c>
      <c r="GG708">
        <v>2</v>
      </c>
      <c r="GH708">
        <v>1</v>
      </c>
      <c r="GI708">
        <v>-2</v>
      </c>
      <c r="GJ708">
        <v>0</v>
      </c>
      <c r="GK708">
        <f>ROUND(R708*(R12)/100,2)</f>
        <v>0</v>
      </c>
      <c r="GL708">
        <f t="shared" si="564"/>
        <v>0</v>
      </c>
      <c r="GM708">
        <f t="shared" si="565"/>
        <v>12419.71</v>
      </c>
      <c r="GN708">
        <f t="shared" si="566"/>
        <v>0</v>
      </c>
      <c r="GO708">
        <f t="shared" si="567"/>
        <v>0</v>
      </c>
      <c r="GP708">
        <f t="shared" si="568"/>
        <v>12419.71</v>
      </c>
      <c r="GR708">
        <v>0</v>
      </c>
      <c r="GS708">
        <v>3</v>
      </c>
      <c r="GT708">
        <v>0</v>
      </c>
      <c r="GU708" t="s">
        <v>3</v>
      </c>
      <c r="GV708">
        <f t="shared" si="569"/>
        <v>0</v>
      </c>
      <c r="GW708">
        <v>1</v>
      </c>
      <c r="GX708">
        <f t="shared" si="570"/>
        <v>0</v>
      </c>
      <c r="HA708">
        <v>0</v>
      </c>
      <c r="HB708">
        <v>0</v>
      </c>
      <c r="HC708">
        <f t="shared" si="571"/>
        <v>0</v>
      </c>
      <c r="HE708" t="s">
        <v>3</v>
      </c>
      <c r="HF708" t="s">
        <v>3</v>
      </c>
      <c r="HM708" t="s">
        <v>3</v>
      </c>
      <c r="HN708" t="s">
        <v>3</v>
      </c>
      <c r="HO708" t="s">
        <v>3</v>
      </c>
      <c r="HP708" t="s">
        <v>3</v>
      </c>
      <c r="HQ708" t="s">
        <v>3</v>
      </c>
      <c r="IK708">
        <v>0</v>
      </c>
    </row>
    <row r="709" spans="1:245" x14ac:dyDescent="0.2">
      <c r="A709">
        <v>17</v>
      </c>
      <c r="B709">
        <v>1</v>
      </c>
      <c r="D709">
        <f>ROW(EtalonRes!A439)</f>
        <v>439</v>
      </c>
      <c r="E709" t="s">
        <v>3</v>
      </c>
      <c r="F709" t="s">
        <v>193</v>
      </c>
      <c r="G709" t="s">
        <v>194</v>
      </c>
      <c r="H709" t="s">
        <v>39</v>
      </c>
      <c r="I709">
        <v>13</v>
      </c>
      <c r="J709">
        <v>0</v>
      </c>
      <c r="K709">
        <v>13</v>
      </c>
      <c r="O709">
        <f t="shared" si="539"/>
        <v>1384.47</v>
      </c>
      <c r="P709">
        <f t="shared" si="540"/>
        <v>16.38</v>
      </c>
      <c r="Q709">
        <f t="shared" si="541"/>
        <v>0</v>
      </c>
      <c r="R709">
        <f t="shared" si="542"/>
        <v>0</v>
      </c>
      <c r="S709">
        <f t="shared" si="543"/>
        <v>1368.09</v>
      </c>
      <c r="T709">
        <f t="shared" si="544"/>
        <v>0</v>
      </c>
      <c r="U709">
        <f t="shared" si="545"/>
        <v>2.4336000000000002</v>
      </c>
      <c r="V709">
        <f t="shared" si="546"/>
        <v>0</v>
      </c>
      <c r="W709">
        <f t="shared" si="547"/>
        <v>0</v>
      </c>
      <c r="X709">
        <f t="shared" si="548"/>
        <v>957.66</v>
      </c>
      <c r="Y709">
        <f t="shared" si="549"/>
        <v>136.81</v>
      </c>
      <c r="AA709">
        <v>-1</v>
      </c>
      <c r="AB709">
        <f t="shared" si="550"/>
        <v>106.49760000000001</v>
      </c>
      <c r="AC709">
        <f>ROUND((ES709),6)</f>
        <v>1.26</v>
      </c>
      <c r="AD709">
        <f t="shared" si="572"/>
        <v>0</v>
      </c>
      <c r="AE709">
        <f t="shared" si="573"/>
        <v>0</v>
      </c>
      <c r="AF709">
        <f>ROUND(((EV709*1.04)),6)</f>
        <v>105.2376</v>
      </c>
      <c r="AG709">
        <f t="shared" si="551"/>
        <v>0</v>
      </c>
      <c r="AH709">
        <f>((EW709*1.04))</f>
        <v>0.18720000000000001</v>
      </c>
      <c r="AI709">
        <f t="shared" si="574"/>
        <v>0</v>
      </c>
      <c r="AJ709">
        <f t="shared" si="552"/>
        <v>0</v>
      </c>
      <c r="AK709">
        <v>102.45</v>
      </c>
      <c r="AL709">
        <v>1.26</v>
      </c>
      <c r="AM709">
        <v>0</v>
      </c>
      <c r="AN709">
        <v>0</v>
      </c>
      <c r="AO709">
        <v>101.19</v>
      </c>
      <c r="AP709">
        <v>0</v>
      </c>
      <c r="AQ709">
        <v>0.18</v>
      </c>
      <c r="AR709">
        <v>0</v>
      </c>
      <c r="AS709">
        <v>0</v>
      </c>
      <c r="AT709">
        <v>70</v>
      </c>
      <c r="AU709">
        <v>10</v>
      </c>
      <c r="AV709">
        <v>1</v>
      </c>
      <c r="AW709">
        <v>1</v>
      </c>
      <c r="AZ709">
        <v>1</v>
      </c>
      <c r="BA709">
        <v>1</v>
      </c>
      <c r="BB709">
        <v>1</v>
      </c>
      <c r="BC709">
        <v>1</v>
      </c>
      <c r="BD709" t="s">
        <v>3</v>
      </c>
      <c r="BE709" t="s">
        <v>3</v>
      </c>
      <c r="BF709" t="s">
        <v>3</v>
      </c>
      <c r="BG709" t="s">
        <v>3</v>
      </c>
      <c r="BH709">
        <v>0</v>
      </c>
      <c r="BI709">
        <v>4</v>
      </c>
      <c r="BJ709" t="s">
        <v>195</v>
      </c>
      <c r="BM709">
        <v>0</v>
      </c>
      <c r="BN709">
        <v>0</v>
      </c>
      <c r="BO709" t="s">
        <v>3</v>
      </c>
      <c r="BP709">
        <v>0</v>
      </c>
      <c r="BQ709">
        <v>1</v>
      </c>
      <c r="BR709">
        <v>0</v>
      </c>
      <c r="BS709">
        <v>1</v>
      </c>
      <c r="BT709">
        <v>1</v>
      </c>
      <c r="BU709">
        <v>1</v>
      </c>
      <c r="BV709">
        <v>1</v>
      </c>
      <c r="BW709">
        <v>1</v>
      </c>
      <c r="BX709">
        <v>1</v>
      </c>
      <c r="BY709" t="s">
        <v>3</v>
      </c>
      <c r="BZ709">
        <v>70</v>
      </c>
      <c r="CA709">
        <v>10</v>
      </c>
      <c r="CB709" t="s">
        <v>3</v>
      </c>
      <c r="CE709">
        <v>0</v>
      </c>
      <c r="CF709">
        <v>0</v>
      </c>
      <c r="CG709">
        <v>0</v>
      </c>
      <c r="CM709">
        <v>0</v>
      </c>
      <c r="CN709" t="s">
        <v>196</v>
      </c>
      <c r="CO709">
        <v>0</v>
      </c>
      <c r="CP709">
        <f t="shared" si="553"/>
        <v>1384.47</v>
      </c>
      <c r="CQ709">
        <f t="shared" si="554"/>
        <v>1.26</v>
      </c>
      <c r="CR709">
        <f t="shared" si="575"/>
        <v>0</v>
      </c>
      <c r="CS709">
        <f t="shared" si="555"/>
        <v>0</v>
      </c>
      <c r="CT709">
        <f t="shared" si="556"/>
        <v>105.2376</v>
      </c>
      <c r="CU709">
        <f t="shared" si="557"/>
        <v>0</v>
      </c>
      <c r="CV709">
        <f t="shared" si="558"/>
        <v>0.18720000000000001</v>
      </c>
      <c r="CW709">
        <f t="shared" si="559"/>
        <v>0</v>
      </c>
      <c r="CX709">
        <f t="shared" si="560"/>
        <v>0</v>
      </c>
      <c r="CY709">
        <f t="shared" si="561"/>
        <v>957.6629999999999</v>
      </c>
      <c r="CZ709">
        <f t="shared" si="562"/>
        <v>136.809</v>
      </c>
      <c r="DC709" t="s">
        <v>3</v>
      </c>
      <c r="DD709" t="s">
        <v>3</v>
      </c>
      <c r="DE709" t="s">
        <v>3</v>
      </c>
      <c r="DF709" t="s">
        <v>3</v>
      </c>
      <c r="DG709" t="s">
        <v>197</v>
      </c>
      <c r="DH709" t="s">
        <v>3</v>
      </c>
      <c r="DI709" t="s">
        <v>197</v>
      </c>
      <c r="DJ709" t="s">
        <v>3</v>
      </c>
      <c r="DK709" t="s">
        <v>3</v>
      </c>
      <c r="DL709" t="s">
        <v>3</v>
      </c>
      <c r="DM709" t="s">
        <v>3</v>
      </c>
      <c r="DN709">
        <v>0</v>
      </c>
      <c r="DO709">
        <v>0</v>
      </c>
      <c r="DP709">
        <v>1</v>
      </c>
      <c r="DQ709">
        <v>1</v>
      </c>
      <c r="DU709">
        <v>16987630</v>
      </c>
      <c r="DV709" t="s">
        <v>39</v>
      </c>
      <c r="DW709" t="s">
        <v>39</v>
      </c>
      <c r="DX709">
        <v>1</v>
      </c>
      <c r="DZ709" t="s">
        <v>3</v>
      </c>
      <c r="EA709" t="s">
        <v>3</v>
      </c>
      <c r="EB709" t="s">
        <v>3</v>
      </c>
      <c r="EC709" t="s">
        <v>3</v>
      </c>
      <c r="EE709">
        <v>1441815344</v>
      </c>
      <c r="EF709">
        <v>1</v>
      </c>
      <c r="EG709" t="s">
        <v>21</v>
      </c>
      <c r="EH709">
        <v>0</v>
      </c>
      <c r="EI709" t="s">
        <v>3</v>
      </c>
      <c r="EJ709">
        <v>4</v>
      </c>
      <c r="EK709">
        <v>0</v>
      </c>
      <c r="EL709" t="s">
        <v>22</v>
      </c>
      <c r="EM709" t="s">
        <v>23</v>
      </c>
      <c r="EO709" t="s">
        <v>198</v>
      </c>
      <c r="EQ709">
        <v>1792</v>
      </c>
      <c r="ER709">
        <v>102.45</v>
      </c>
      <c r="ES709">
        <v>1.26</v>
      </c>
      <c r="ET709">
        <v>0</v>
      </c>
      <c r="EU709">
        <v>0</v>
      </c>
      <c r="EV709">
        <v>101.19</v>
      </c>
      <c r="EW709">
        <v>0.18</v>
      </c>
      <c r="EX709">
        <v>0</v>
      </c>
      <c r="EY709">
        <v>0</v>
      </c>
      <c r="FQ709">
        <v>0</v>
      </c>
      <c r="FR709">
        <f t="shared" si="563"/>
        <v>0</v>
      </c>
      <c r="FS709">
        <v>0</v>
      </c>
      <c r="FX709">
        <v>70</v>
      </c>
      <c r="FY709">
        <v>10</v>
      </c>
      <c r="GA709" t="s">
        <v>3</v>
      </c>
      <c r="GD709">
        <v>0</v>
      </c>
      <c r="GF709">
        <v>-74619418</v>
      </c>
      <c r="GG709">
        <v>2</v>
      </c>
      <c r="GH709">
        <v>1</v>
      </c>
      <c r="GI709">
        <v>-2</v>
      </c>
      <c r="GJ709">
        <v>0</v>
      </c>
      <c r="GK709">
        <f>ROUND(R709*(R12)/100,2)</f>
        <v>0</v>
      </c>
      <c r="GL709">
        <f t="shared" si="564"/>
        <v>0</v>
      </c>
      <c r="GM709">
        <f t="shared" si="565"/>
        <v>2478.94</v>
      </c>
      <c r="GN709">
        <f t="shared" si="566"/>
        <v>0</v>
      </c>
      <c r="GO709">
        <f t="shared" si="567"/>
        <v>0</v>
      </c>
      <c r="GP709">
        <f t="shared" si="568"/>
        <v>2478.94</v>
      </c>
      <c r="GR709">
        <v>0</v>
      </c>
      <c r="GS709">
        <v>3</v>
      </c>
      <c r="GT709">
        <v>0</v>
      </c>
      <c r="GU709" t="s">
        <v>3</v>
      </c>
      <c r="GV709">
        <f t="shared" si="569"/>
        <v>0</v>
      </c>
      <c r="GW709">
        <v>1</v>
      </c>
      <c r="GX709">
        <f t="shared" si="570"/>
        <v>0</v>
      </c>
      <c r="HA709">
        <v>0</v>
      </c>
      <c r="HB709">
        <v>0</v>
      </c>
      <c r="HC709">
        <f t="shared" si="571"/>
        <v>0</v>
      </c>
      <c r="HE709" t="s">
        <v>3</v>
      </c>
      <c r="HF709" t="s">
        <v>3</v>
      </c>
      <c r="HM709" t="s">
        <v>3</v>
      </c>
      <c r="HN709" t="s">
        <v>3</v>
      </c>
      <c r="HO709" t="s">
        <v>3</v>
      </c>
      <c r="HP709" t="s">
        <v>3</v>
      </c>
      <c r="HQ709" t="s">
        <v>3</v>
      </c>
      <c r="IK709">
        <v>0</v>
      </c>
    </row>
    <row r="710" spans="1:245" x14ac:dyDescent="0.2">
      <c r="A710">
        <v>17</v>
      </c>
      <c r="B710">
        <v>1</v>
      </c>
      <c r="D710">
        <f>ROW(EtalonRes!A441)</f>
        <v>441</v>
      </c>
      <c r="E710" t="s">
        <v>335</v>
      </c>
      <c r="F710" t="s">
        <v>200</v>
      </c>
      <c r="G710" t="s">
        <v>201</v>
      </c>
      <c r="H710" t="s">
        <v>39</v>
      </c>
      <c r="I710">
        <f>ROUND((2)*5,9)</f>
        <v>10</v>
      </c>
      <c r="J710">
        <v>0</v>
      </c>
      <c r="K710">
        <f>ROUND((2)*5,9)</f>
        <v>10</v>
      </c>
      <c r="O710">
        <f t="shared" si="539"/>
        <v>1760.26</v>
      </c>
      <c r="P710">
        <f t="shared" si="540"/>
        <v>6.3</v>
      </c>
      <c r="Q710">
        <f t="shared" si="541"/>
        <v>0</v>
      </c>
      <c r="R710">
        <f t="shared" si="542"/>
        <v>0</v>
      </c>
      <c r="S710">
        <f t="shared" si="543"/>
        <v>1753.96</v>
      </c>
      <c r="T710">
        <f t="shared" si="544"/>
        <v>0</v>
      </c>
      <c r="U710">
        <f t="shared" si="545"/>
        <v>3.12</v>
      </c>
      <c r="V710">
        <f t="shared" si="546"/>
        <v>0</v>
      </c>
      <c r="W710">
        <f t="shared" si="547"/>
        <v>0</v>
      </c>
      <c r="X710">
        <f t="shared" si="548"/>
        <v>1227.77</v>
      </c>
      <c r="Y710">
        <f t="shared" si="549"/>
        <v>175.4</v>
      </c>
      <c r="AA710">
        <v>1471531721</v>
      </c>
      <c r="AB710">
        <f t="shared" si="550"/>
        <v>176.02600000000001</v>
      </c>
      <c r="AC710">
        <f>ROUND((ES710),6)</f>
        <v>0.63</v>
      </c>
      <c r="AD710">
        <f t="shared" si="572"/>
        <v>0</v>
      </c>
      <c r="AE710">
        <f t="shared" si="573"/>
        <v>0</v>
      </c>
      <c r="AF710">
        <f>ROUND(((EV710*1.04)),6)</f>
        <v>175.39599999999999</v>
      </c>
      <c r="AG710">
        <f t="shared" si="551"/>
        <v>0</v>
      </c>
      <c r="AH710">
        <f>((EW710*1.04))</f>
        <v>0.312</v>
      </c>
      <c r="AI710">
        <f t="shared" si="574"/>
        <v>0</v>
      </c>
      <c r="AJ710">
        <f t="shared" si="552"/>
        <v>0</v>
      </c>
      <c r="AK710">
        <v>169.28</v>
      </c>
      <c r="AL710">
        <v>0.63</v>
      </c>
      <c r="AM710">
        <v>0</v>
      </c>
      <c r="AN710">
        <v>0</v>
      </c>
      <c r="AO710">
        <v>168.65</v>
      </c>
      <c r="AP710">
        <v>0</v>
      </c>
      <c r="AQ710">
        <v>0.3</v>
      </c>
      <c r="AR710">
        <v>0</v>
      </c>
      <c r="AS710">
        <v>0</v>
      </c>
      <c r="AT710">
        <v>70</v>
      </c>
      <c r="AU710">
        <v>10</v>
      </c>
      <c r="AV710">
        <v>1</v>
      </c>
      <c r="AW710">
        <v>1</v>
      </c>
      <c r="AZ710">
        <v>1</v>
      </c>
      <c r="BA710">
        <v>1</v>
      </c>
      <c r="BB710">
        <v>1</v>
      </c>
      <c r="BC710">
        <v>1</v>
      </c>
      <c r="BD710" t="s">
        <v>3</v>
      </c>
      <c r="BE710" t="s">
        <v>3</v>
      </c>
      <c r="BF710" t="s">
        <v>3</v>
      </c>
      <c r="BG710" t="s">
        <v>3</v>
      </c>
      <c r="BH710">
        <v>0</v>
      </c>
      <c r="BI710">
        <v>4</v>
      </c>
      <c r="BJ710" t="s">
        <v>202</v>
      </c>
      <c r="BM710">
        <v>0</v>
      </c>
      <c r="BN710">
        <v>0</v>
      </c>
      <c r="BO710" t="s">
        <v>3</v>
      </c>
      <c r="BP710">
        <v>0</v>
      </c>
      <c r="BQ710">
        <v>1</v>
      </c>
      <c r="BR710">
        <v>0</v>
      </c>
      <c r="BS710">
        <v>1</v>
      </c>
      <c r="BT710">
        <v>1</v>
      </c>
      <c r="BU710">
        <v>1</v>
      </c>
      <c r="BV710">
        <v>1</v>
      </c>
      <c r="BW710">
        <v>1</v>
      </c>
      <c r="BX710">
        <v>1</v>
      </c>
      <c r="BY710" t="s">
        <v>3</v>
      </c>
      <c r="BZ710">
        <v>70</v>
      </c>
      <c r="CA710">
        <v>10</v>
      </c>
      <c r="CB710" t="s">
        <v>3</v>
      </c>
      <c r="CE710">
        <v>0</v>
      </c>
      <c r="CF710">
        <v>0</v>
      </c>
      <c r="CG710">
        <v>0</v>
      </c>
      <c r="CM710">
        <v>0</v>
      </c>
      <c r="CN710" t="s">
        <v>196</v>
      </c>
      <c r="CO710">
        <v>0</v>
      </c>
      <c r="CP710">
        <f t="shared" si="553"/>
        <v>1760.26</v>
      </c>
      <c r="CQ710">
        <f t="shared" si="554"/>
        <v>0.63</v>
      </c>
      <c r="CR710">
        <f t="shared" si="575"/>
        <v>0</v>
      </c>
      <c r="CS710">
        <f t="shared" si="555"/>
        <v>0</v>
      </c>
      <c r="CT710">
        <f t="shared" si="556"/>
        <v>175.39599999999999</v>
      </c>
      <c r="CU710">
        <f t="shared" si="557"/>
        <v>0</v>
      </c>
      <c r="CV710">
        <f t="shared" si="558"/>
        <v>0.312</v>
      </c>
      <c r="CW710">
        <f t="shared" si="559"/>
        <v>0</v>
      </c>
      <c r="CX710">
        <f t="shared" si="560"/>
        <v>0</v>
      </c>
      <c r="CY710">
        <f t="shared" si="561"/>
        <v>1227.7719999999999</v>
      </c>
      <c r="CZ710">
        <f t="shared" si="562"/>
        <v>175.39599999999999</v>
      </c>
      <c r="DC710" t="s">
        <v>3</v>
      </c>
      <c r="DD710" t="s">
        <v>3</v>
      </c>
      <c r="DE710" t="s">
        <v>3</v>
      </c>
      <c r="DF710" t="s">
        <v>3</v>
      </c>
      <c r="DG710" t="s">
        <v>197</v>
      </c>
      <c r="DH710" t="s">
        <v>3</v>
      </c>
      <c r="DI710" t="s">
        <v>197</v>
      </c>
      <c r="DJ710" t="s">
        <v>3</v>
      </c>
      <c r="DK710" t="s">
        <v>3</v>
      </c>
      <c r="DL710" t="s">
        <v>3</v>
      </c>
      <c r="DM710" t="s">
        <v>3</v>
      </c>
      <c r="DN710">
        <v>0</v>
      </c>
      <c r="DO710">
        <v>0</v>
      </c>
      <c r="DP710">
        <v>1</v>
      </c>
      <c r="DQ710">
        <v>1</v>
      </c>
      <c r="DU710">
        <v>16987630</v>
      </c>
      <c r="DV710" t="s">
        <v>39</v>
      </c>
      <c r="DW710" t="s">
        <v>39</v>
      </c>
      <c r="DX710">
        <v>1</v>
      </c>
      <c r="DZ710" t="s">
        <v>3</v>
      </c>
      <c r="EA710" t="s">
        <v>3</v>
      </c>
      <c r="EB710" t="s">
        <v>3</v>
      </c>
      <c r="EC710" t="s">
        <v>3</v>
      </c>
      <c r="EE710">
        <v>1441815344</v>
      </c>
      <c r="EF710">
        <v>1</v>
      </c>
      <c r="EG710" t="s">
        <v>21</v>
      </c>
      <c r="EH710">
        <v>0</v>
      </c>
      <c r="EI710" t="s">
        <v>3</v>
      </c>
      <c r="EJ710">
        <v>4</v>
      </c>
      <c r="EK710">
        <v>0</v>
      </c>
      <c r="EL710" t="s">
        <v>22</v>
      </c>
      <c r="EM710" t="s">
        <v>23</v>
      </c>
      <c r="EO710" t="s">
        <v>198</v>
      </c>
      <c r="EQ710">
        <v>768</v>
      </c>
      <c r="ER710">
        <v>169.28</v>
      </c>
      <c r="ES710">
        <v>0.63</v>
      </c>
      <c r="ET710">
        <v>0</v>
      </c>
      <c r="EU710">
        <v>0</v>
      </c>
      <c r="EV710">
        <v>168.65</v>
      </c>
      <c r="EW710">
        <v>0.3</v>
      </c>
      <c r="EX710">
        <v>0</v>
      </c>
      <c r="EY710">
        <v>0</v>
      </c>
      <c r="FQ710">
        <v>0</v>
      </c>
      <c r="FR710">
        <f t="shared" si="563"/>
        <v>0</v>
      </c>
      <c r="FS710">
        <v>0</v>
      </c>
      <c r="FX710">
        <v>70</v>
      </c>
      <c r="FY710">
        <v>10</v>
      </c>
      <c r="GA710" t="s">
        <v>3</v>
      </c>
      <c r="GD710">
        <v>0</v>
      </c>
      <c r="GF710">
        <v>192004803</v>
      </c>
      <c r="GG710">
        <v>2</v>
      </c>
      <c r="GH710">
        <v>1</v>
      </c>
      <c r="GI710">
        <v>-2</v>
      </c>
      <c r="GJ710">
        <v>0</v>
      </c>
      <c r="GK710">
        <f>ROUND(R710*(R12)/100,2)</f>
        <v>0</v>
      </c>
      <c r="GL710">
        <f t="shared" si="564"/>
        <v>0</v>
      </c>
      <c r="GM710">
        <f t="shared" si="565"/>
        <v>3163.43</v>
      </c>
      <c r="GN710">
        <f t="shared" si="566"/>
        <v>0</v>
      </c>
      <c r="GO710">
        <f t="shared" si="567"/>
        <v>0</v>
      </c>
      <c r="GP710">
        <f t="shared" si="568"/>
        <v>3163.43</v>
      </c>
      <c r="GR710">
        <v>0</v>
      </c>
      <c r="GS710">
        <v>3</v>
      </c>
      <c r="GT710">
        <v>0</v>
      </c>
      <c r="GU710" t="s">
        <v>3</v>
      </c>
      <c r="GV710">
        <f t="shared" si="569"/>
        <v>0</v>
      </c>
      <c r="GW710">
        <v>1</v>
      </c>
      <c r="GX710">
        <f t="shared" si="570"/>
        <v>0</v>
      </c>
      <c r="HA710">
        <v>0</v>
      </c>
      <c r="HB710">
        <v>0</v>
      </c>
      <c r="HC710">
        <f t="shared" si="571"/>
        <v>0</v>
      </c>
      <c r="HE710" t="s">
        <v>3</v>
      </c>
      <c r="HF710" t="s">
        <v>3</v>
      </c>
      <c r="HM710" t="s">
        <v>3</v>
      </c>
      <c r="HN710" t="s">
        <v>3</v>
      </c>
      <c r="HO710" t="s">
        <v>3</v>
      </c>
      <c r="HP710" t="s">
        <v>3</v>
      </c>
      <c r="HQ710" t="s">
        <v>3</v>
      </c>
      <c r="IK710">
        <v>0</v>
      </c>
    </row>
    <row r="711" spans="1:245" x14ac:dyDescent="0.2">
      <c r="A711">
        <v>17</v>
      </c>
      <c r="B711">
        <v>1</v>
      </c>
      <c r="D711">
        <f>ROW(EtalonRes!A443)</f>
        <v>443</v>
      </c>
      <c r="E711" t="s">
        <v>336</v>
      </c>
      <c r="F711" t="s">
        <v>204</v>
      </c>
      <c r="G711" t="s">
        <v>205</v>
      </c>
      <c r="H711" t="s">
        <v>39</v>
      </c>
      <c r="I711">
        <f>ROUND(7*5,9)</f>
        <v>35</v>
      </c>
      <c r="J711">
        <v>0</v>
      </c>
      <c r="K711">
        <f>ROUND(7*5,9)</f>
        <v>35</v>
      </c>
      <c r="O711">
        <f t="shared" si="539"/>
        <v>8229.3700000000008</v>
      </c>
      <c r="P711">
        <f t="shared" si="540"/>
        <v>44.1</v>
      </c>
      <c r="Q711">
        <f t="shared" si="541"/>
        <v>0</v>
      </c>
      <c r="R711">
        <f t="shared" si="542"/>
        <v>0</v>
      </c>
      <c r="S711">
        <f t="shared" si="543"/>
        <v>8185.27</v>
      </c>
      <c r="T711">
        <f t="shared" si="544"/>
        <v>0</v>
      </c>
      <c r="U711">
        <f t="shared" si="545"/>
        <v>14.56</v>
      </c>
      <c r="V711">
        <f t="shared" si="546"/>
        <v>0</v>
      </c>
      <c r="W711">
        <f t="shared" si="547"/>
        <v>0</v>
      </c>
      <c r="X711">
        <f t="shared" si="548"/>
        <v>5729.69</v>
      </c>
      <c r="Y711">
        <f t="shared" si="549"/>
        <v>818.53</v>
      </c>
      <c r="AA711">
        <v>1471531721</v>
      </c>
      <c r="AB711">
        <f t="shared" si="550"/>
        <v>235.12479999999999</v>
      </c>
      <c r="AC711">
        <f>ROUND((ES711),6)</f>
        <v>1.26</v>
      </c>
      <c r="AD711">
        <f t="shared" si="572"/>
        <v>0</v>
      </c>
      <c r="AE711">
        <f t="shared" si="573"/>
        <v>0</v>
      </c>
      <c r="AF711">
        <f>ROUND(((EV711*1.04)),6)</f>
        <v>233.8648</v>
      </c>
      <c r="AG711">
        <f t="shared" si="551"/>
        <v>0</v>
      </c>
      <c r="AH711">
        <f>((EW711*1.04))</f>
        <v>0.41600000000000004</v>
      </c>
      <c r="AI711">
        <f t="shared" si="574"/>
        <v>0</v>
      </c>
      <c r="AJ711">
        <f t="shared" si="552"/>
        <v>0</v>
      </c>
      <c r="AK711">
        <v>226.13</v>
      </c>
      <c r="AL711">
        <v>1.26</v>
      </c>
      <c r="AM711">
        <v>0</v>
      </c>
      <c r="AN711">
        <v>0</v>
      </c>
      <c r="AO711">
        <v>224.87</v>
      </c>
      <c r="AP711">
        <v>0</v>
      </c>
      <c r="AQ711">
        <v>0.4</v>
      </c>
      <c r="AR711">
        <v>0</v>
      </c>
      <c r="AS711">
        <v>0</v>
      </c>
      <c r="AT711">
        <v>70</v>
      </c>
      <c r="AU711">
        <v>10</v>
      </c>
      <c r="AV711">
        <v>1</v>
      </c>
      <c r="AW711">
        <v>1</v>
      </c>
      <c r="AZ711">
        <v>1</v>
      </c>
      <c r="BA711">
        <v>1</v>
      </c>
      <c r="BB711">
        <v>1</v>
      </c>
      <c r="BC711">
        <v>1</v>
      </c>
      <c r="BD711" t="s">
        <v>3</v>
      </c>
      <c r="BE711" t="s">
        <v>3</v>
      </c>
      <c r="BF711" t="s">
        <v>3</v>
      </c>
      <c r="BG711" t="s">
        <v>3</v>
      </c>
      <c r="BH711">
        <v>0</v>
      </c>
      <c r="BI711">
        <v>4</v>
      </c>
      <c r="BJ711" t="s">
        <v>206</v>
      </c>
      <c r="BM711">
        <v>0</v>
      </c>
      <c r="BN711">
        <v>0</v>
      </c>
      <c r="BO711" t="s">
        <v>3</v>
      </c>
      <c r="BP711">
        <v>0</v>
      </c>
      <c r="BQ711">
        <v>1</v>
      </c>
      <c r="BR711">
        <v>0</v>
      </c>
      <c r="BS711">
        <v>1</v>
      </c>
      <c r="BT711">
        <v>1</v>
      </c>
      <c r="BU711">
        <v>1</v>
      </c>
      <c r="BV711">
        <v>1</v>
      </c>
      <c r="BW711">
        <v>1</v>
      </c>
      <c r="BX711">
        <v>1</v>
      </c>
      <c r="BY711" t="s">
        <v>3</v>
      </c>
      <c r="BZ711">
        <v>70</v>
      </c>
      <c r="CA711">
        <v>10</v>
      </c>
      <c r="CB711" t="s">
        <v>3</v>
      </c>
      <c r="CE711">
        <v>0</v>
      </c>
      <c r="CF711">
        <v>0</v>
      </c>
      <c r="CG711">
        <v>0</v>
      </c>
      <c r="CM711">
        <v>0</v>
      </c>
      <c r="CN711" t="s">
        <v>196</v>
      </c>
      <c r="CO711">
        <v>0</v>
      </c>
      <c r="CP711">
        <f t="shared" si="553"/>
        <v>8229.3700000000008</v>
      </c>
      <c r="CQ711">
        <f t="shared" si="554"/>
        <v>1.26</v>
      </c>
      <c r="CR711">
        <f t="shared" si="575"/>
        <v>0</v>
      </c>
      <c r="CS711">
        <f t="shared" si="555"/>
        <v>0</v>
      </c>
      <c r="CT711">
        <f t="shared" si="556"/>
        <v>233.8648</v>
      </c>
      <c r="CU711">
        <f t="shared" si="557"/>
        <v>0</v>
      </c>
      <c r="CV711">
        <f t="shared" si="558"/>
        <v>0.41600000000000004</v>
      </c>
      <c r="CW711">
        <f t="shared" si="559"/>
        <v>0</v>
      </c>
      <c r="CX711">
        <f t="shared" si="560"/>
        <v>0</v>
      </c>
      <c r="CY711">
        <f t="shared" si="561"/>
        <v>5729.6890000000003</v>
      </c>
      <c r="CZ711">
        <f t="shared" si="562"/>
        <v>818.52700000000016</v>
      </c>
      <c r="DC711" t="s">
        <v>3</v>
      </c>
      <c r="DD711" t="s">
        <v>3</v>
      </c>
      <c r="DE711" t="s">
        <v>3</v>
      </c>
      <c r="DF711" t="s">
        <v>3</v>
      </c>
      <c r="DG711" t="s">
        <v>197</v>
      </c>
      <c r="DH711" t="s">
        <v>3</v>
      </c>
      <c r="DI711" t="s">
        <v>197</v>
      </c>
      <c r="DJ711" t="s">
        <v>3</v>
      </c>
      <c r="DK711" t="s">
        <v>3</v>
      </c>
      <c r="DL711" t="s">
        <v>3</v>
      </c>
      <c r="DM711" t="s">
        <v>3</v>
      </c>
      <c r="DN711">
        <v>0</v>
      </c>
      <c r="DO711">
        <v>0</v>
      </c>
      <c r="DP711">
        <v>1</v>
      </c>
      <c r="DQ711">
        <v>1</v>
      </c>
      <c r="DU711">
        <v>16987630</v>
      </c>
      <c r="DV711" t="s">
        <v>39</v>
      </c>
      <c r="DW711" t="s">
        <v>39</v>
      </c>
      <c r="DX711">
        <v>1</v>
      </c>
      <c r="DZ711" t="s">
        <v>3</v>
      </c>
      <c r="EA711" t="s">
        <v>3</v>
      </c>
      <c r="EB711" t="s">
        <v>3</v>
      </c>
      <c r="EC711" t="s">
        <v>3</v>
      </c>
      <c r="EE711">
        <v>1441815344</v>
      </c>
      <c r="EF711">
        <v>1</v>
      </c>
      <c r="EG711" t="s">
        <v>21</v>
      </c>
      <c r="EH711">
        <v>0</v>
      </c>
      <c r="EI711" t="s">
        <v>3</v>
      </c>
      <c r="EJ711">
        <v>4</v>
      </c>
      <c r="EK711">
        <v>0</v>
      </c>
      <c r="EL711" t="s">
        <v>22</v>
      </c>
      <c r="EM711" t="s">
        <v>23</v>
      </c>
      <c r="EO711" t="s">
        <v>198</v>
      </c>
      <c r="EQ711">
        <v>768</v>
      </c>
      <c r="ER711">
        <v>226.13</v>
      </c>
      <c r="ES711">
        <v>1.26</v>
      </c>
      <c r="ET711">
        <v>0</v>
      </c>
      <c r="EU711">
        <v>0</v>
      </c>
      <c r="EV711">
        <v>224.87</v>
      </c>
      <c r="EW711">
        <v>0.4</v>
      </c>
      <c r="EX711">
        <v>0</v>
      </c>
      <c r="EY711">
        <v>0</v>
      </c>
      <c r="FQ711">
        <v>0</v>
      </c>
      <c r="FR711">
        <f t="shared" si="563"/>
        <v>0</v>
      </c>
      <c r="FS711">
        <v>0</v>
      </c>
      <c r="FX711">
        <v>70</v>
      </c>
      <c r="FY711">
        <v>10</v>
      </c>
      <c r="GA711" t="s">
        <v>3</v>
      </c>
      <c r="GD711">
        <v>0</v>
      </c>
      <c r="GF711">
        <v>-1193417237</v>
      </c>
      <c r="GG711">
        <v>2</v>
      </c>
      <c r="GH711">
        <v>1</v>
      </c>
      <c r="GI711">
        <v>-2</v>
      </c>
      <c r="GJ711">
        <v>0</v>
      </c>
      <c r="GK711">
        <f>ROUND(R711*(R12)/100,2)</f>
        <v>0</v>
      </c>
      <c r="GL711">
        <f t="shared" si="564"/>
        <v>0</v>
      </c>
      <c r="GM711">
        <f t="shared" si="565"/>
        <v>14777.59</v>
      </c>
      <c r="GN711">
        <f t="shared" si="566"/>
        <v>0</v>
      </c>
      <c r="GO711">
        <f t="shared" si="567"/>
        <v>0</v>
      </c>
      <c r="GP711">
        <f t="shared" si="568"/>
        <v>14777.59</v>
      </c>
      <c r="GR711">
        <v>0</v>
      </c>
      <c r="GS711">
        <v>3</v>
      </c>
      <c r="GT711">
        <v>0</v>
      </c>
      <c r="GU711" t="s">
        <v>3</v>
      </c>
      <c r="GV711">
        <f t="shared" si="569"/>
        <v>0</v>
      </c>
      <c r="GW711">
        <v>1</v>
      </c>
      <c r="GX711">
        <f t="shared" si="570"/>
        <v>0</v>
      </c>
      <c r="HA711">
        <v>0</v>
      </c>
      <c r="HB711">
        <v>0</v>
      </c>
      <c r="HC711">
        <f t="shared" si="571"/>
        <v>0</v>
      </c>
      <c r="HE711" t="s">
        <v>3</v>
      </c>
      <c r="HF711" t="s">
        <v>3</v>
      </c>
      <c r="HM711" t="s">
        <v>3</v>
      </c>
      <c r="HN711" t="s">
        <v>3</v>
      </c>
      <c r="HO711" t="s">
        <v>3</v>
      </c>
      <c r="HP711" t="s">
        <v>3</v>
      </c>
      <c r="HQ711" t="s">
        <v>3</v>
      </c>
      <c r="IK711">
        <v>0</v>
      </c>
    </row>
    <row r="712" spans="1:245" x14ac:dyDescent="0.2">
      <c r="A712">
        <v>17</v>
      </c>
      <c r="B712">
        <v>1</v>
      </c>
      <c r="D712">
        <f>ROW(EtalonRes!A445)</f>
        <v>445</v>
      </c>
      <c r="E712" t="s">
        <v>3</v>
      </c>
      <c r="F712" t="s">
        <v>208</v>
      </c>
      <c r="G712" t="s">
        <v>209</v>
      </c>
      <c r="H712" t="s">
        <v>39</v>
      </c>
      <c r="I712">
        <f>ROUND(3*1,9)</f>
        <v>3</v>
      </c>
      <c r="J712">
        <v>0</v>
      </c>
      <c r="K712">
        <f>ROUND(3*1,9)</f>
        <v>3</v>
      </c>
      <c r="O712">
        <f t="shared" si="539"/>
        <v>3538.08</v>
      </c>
      <c r="P712">
        <f t="shared" si="540"/>
        <v>30.24</v>
      </c>
      <c r="Q712">
        <f t="shared" si="541"/>
        <v>0</v>
      </c>
      <c r="R712">
        <f t="shared" si="542"/>
        <v>0</v>
      </c>
      <c r="S712">
        <f t="shared" si="543"/>
        <v>3507.84</v>
      </c>
      <c r="T712">
        <f t="shared" si="544"/>
        <v>0</v>
      </c>
      <c r="U712">
        <f t="shared" si="545"/>
        <v>6.24</v>
      </c>
      <c r="V712">
        <f t="shared" si="546"/>
        <v>0</v>
      </c>
      <c r="W712">
        <f t="shared" si="547"/>
        <v>0</v>
      </c>
      <c r="X712">
        <f t="shared" si="548"/>
        <v>2455.4899999999998</v>
      </c>
      <c r="Y712">
        <f t="shared" si="549"/>
        <v>350.78</v>
      </c>
      <c r="AA712">
        <v>-1</v>
      </c>
      <c r="AB712">
        <f t="shared" si="550"/>
        <v>1179.3599999999999</v>
      </c>
      <c r="AC712">
        <f>ROUND(((ES712*8)),6)</f>
        <v>10.08</v>
      </c>
      <c r="AD712">
        <f t="shared" si="572"/>
        <v>0</v>
      </c>
      <c r="AE712">
        <f t="shared" si="573"/>
        <v>0</v>
      </c>
      <c r="AF712">
        <f>ROUND(((EV712*8)),6)</f>
        <v>1169.28</v>
      </c>
      <c r="AG712">
        <f t="shared" si="551"/>
        <v>0</v>
      </c>
      <c r="AH712">
        <f>((EW712*8))</f>
        <v>2.08</v>
      </c>
      <c r="AI712">
        <f t="shared" si="574"/>
        <v>0</v>
      </c>
      <c r="AJ712">
        <f t="shared" si="552"/>
        <v>0</v>
      </c>
      <c r="AK712">
        <v>147.41999999999999</v>
      </c>
      <c r="AL712">
        <v>1.26</v>
      </c>
      <c r="AM712">
        <v>0</v>
      </c>
      <c r="AN712">
        <v>0</v>
      </c>
      <c r="AO712">
        <v>146.16</v>
      </c>
      <c r="AP712">
        <v>0</v>
      </c>
      <c r="AQ712">
        <v>0.26</v>
      </c>
      <c r="AR712">
        <v>0</v>
      </c>
      <c r="AS712">
        <v>0</v>
      </c>
      <c r="AT712">
        <v>70</v>
      </c>
      <c r="AU712">
        <v>10</v>
      </c>
      <c r="AV712">
        <v>1</v>
      </c>
      <c r="AW712">
        <v>1</v>
      </c>
      <c r="AZ712">
        <v>1</v>
      </c>
      <c r="BA712">
        <v>1</v>
      </c>
      <c r="BB712">
        <v>1</v>
      </c>
      <c r="BC712">
        <v>1</v>
      </c>
      <c r="BD712" t="s">
        <v>3</v>
      </c>
      <c r="BE712" t="s">
        <v>3</v>
      </c>
      <c r="BF712" t="s">
        <v>3</v>
      </c>
      <c r="BG712" t="s">
        <v>3</v>
      </c>
      <c r="BH712">
        <v>0</v>
      </c>
      <c r="BI712">
        <v>4</v>
      </c>
      <c r="BJ712" t="s">
        <v>210</v>
      </c>
      <c r="BM712">
        <v>0</v>
      </c>
      <c r="BN712">
        <v>0</v>
      </c>
      <c r="BO712" t="s">
        <v>3</v>
      </c>
      <c r="BP712">
        <v>0</v>
      </c>
      <c r="BQ712">
        <v>1</v>
      </c>
      <c r="BR712">
        <v>0</v>
      </c>
      <c r="BS712">
        <v>1</v>
      </c>
      <c r="BT712">
        <v>1</v>
      </c>
      <c r="BU712">
        <v>1</v>
      </c>
      <c r="BV712">
        <v>1</v>
      </c>
      <c r="BW712">
        <v>1</v>
      </c>
      <c r="BX712">
        <v>1</v>
      </c>
      <c r="BY712" t="s">
        <v>3</v>
      </c>
      <c r="BZ712">
        <v>70</v>
      </c>
      <c r="CA712">
        <v>10</v>
      </c>
      <c r="CB712" t="s">
        <v>3</v>
      </c>
      <c r="CE712">
        <v>0</v>
      </c>
      <c r="CF712">
        <v>0</v>
      </c>
      <c r="CG712">
        <v>0</v>
      </c>
      <c r="CM712">
        <v>0</v>
      </c>
      <c r="CN712" t="s">
        <v>3</v>
      </c>
      <c r="CO712">
        <v>0</v>
      </c>
      <c r="CP712">
        <f t="shared" si="553"/>
        <v>3538.08</v>
      </c>
      <c r="CQ712">
        <f t="shared" si="554"/>
        <v>10.08</v>
      </c>
      <c r="CR712">
        <f t="shared" si="575"/>
        <v>0</v>
      </c>
      <c r="CS712">
        <f t="shared" si="555"/>
        <v>0</v>
      </c>
      <c r="CT712">
        <f t="shared" si="556"/>
        <v>1169.28</v>
      </c>
      <c r="CU712">
        <f t="shared" si="557"/>
        <v>0</v>
      </c>
      <c r="CV712">
        <f t="shared" si="558"/>
        <v>2.08</v>
      </c>
      <c r="CW712">
        <f t="shared" si="559"/>
        <v>0</v>
      </c>
      <c r="CX712">
        <f t="shared" si="560"/>
        <v>0</v>
      </c>
      <c r="CY712">
        <f t="shared" si="561"/>
        <v>2455.4880000000003</v>
      </c>
      <c r="CZ712">
        <f t="shared" si="562"/>
        <v>350.78399999999999</v>
      </c>
      <c r="DC712" t="s">
        <v>3</v>
      </c>
      <c r="DD712" t="s">
        <v>69</v>
      </c>
      <c r="DE712" t="s">
        <v>3</v>
      </c>
      <c r="DF712" t="s">
        <v>3</v>
      </c>
      <c r="DG712" t="s">
        <v>69</v>
      </c>
      <c r="DH712" t="s">
        <v>3</v>
      </c>
      <c r="DI712" t="s">
        <v>69</v>
      </c>
      <c r="DJ712" t="s">
        <v>3</v>
      </c>
      <c r="DK712" t="s">
        <v>3</v>
      </c>
      <c r="DL712" t="s">
        <v>3</v>
      </c>
      <c r="DM712" t="s">
        <v>3</v>
      </c>
      <c r="DN712">
        <v>0</v>
      </c>
      <c r="DO712">
        <v>0</v>
      </c>
      <c r="DP712">
        <v>1</v>
      </c>
      <c r="DQ712">
        <v>1</v>
      </c>
      <c r="DU712">
        <v>16987630</v>
      </c>
      <c r="DV712" t="s">
        <v>39</v>
      </c>
      <c r="DW712" t="s">
        <v>39</v>
      </c>
      <c r="DX712">
        <v>1</v>
      </c>
      <c r="DZ712" t="s">
        <v>3</v>
      </c>
      <c r="EA712" t="s">
        <v>3</v>
      </c>
      <c r="EB712" t="s">
        <v>3</v>
      </c>
      <c r="EC712" t="s">
        <v>3</v>
      </c>
      <c r="EE712">
        <v>1441815344</v>
      </c>
      <c r="EF712">
        <v>1</v>
      </c>
      <c r="EG712" t="s">
        <v>21</v>
      </c>
      <c r="EH712">
        <v>0</v>
      </c>
      <c r="EI712" t="s">
        <v>3</v>
      </c>
      <c r="EJ712">
        <v>4</v>
      </c>
      <c r="EK712">
        <v>0</v>
      </c>
      <c r="EL712" t="s">
        <v>22</v>
      </c>
      <c r="EM712" t="s">
        <v>23</v>
      </c>
      <c r="EO712" t="s">
        <v>3</v>
      </c>
      <c r="EQ712">
        <v>1024</v>
      </c>
      <c r="ER712">
        <v>147.41999999999999</v>
      </c>
      <c r="ES712">
        <v>1.26</v>
      </c>
      <c r="ET712">
        <v>0</v>
      </c>
      <c r="EU712">
        <v>0</v>
      </c>
      <c r="EV712">
        <v>146.16</v>
      </c>
      <c r="EW712">
        <v>0.26</v>
      </c>
      <c r="EX712">
        <v>0</v>
      </c>
      <c r="EY712">
        <v>0</v>
      </c>
      <c r="FQ712">
        <v>0</v>
      </c>
      <c r="FR712">
        <f t="shared" si="563"/>
        <v>0</v>
      </c>
      <c r="FS712">
        <v>0</v>
      </c>
      <c r="FX712">
        <v>70</v>
      </c>
      <c r="FY712">
        <v>10</v>
      </c>
      <c r="GA712" t="s">
        <v>3</v>
      </c>
      <c r="GD712">
        <v>0</v>
      </c>
      <c r="GF712">
        <v>1674503205</v>
      </c>
      <c r="GG712">
        <v>2</v>
      </c>
      <c r="GH712">
        <v>1</v>
      </c>
      <c r="GI712">
        <v>-2</v>
      </c>
      <c r="GJ712">
        <v>0</v>
      </c>
      <c r="GK712">
        <f>ROUND(R712*(R12)/100,2)</f>
        <v>0</v>
      </c>
      <c r="GL712">
        <f t="shared" si="564"/>
        <v>0</v>
      </c>
      <c r="GM712">
        <f t="shared" si="565"/>
        <v>6344.35</v>
      </c>
      <c r="GN712">
        <f t="shared" si="566"/>
        <v>0</v>
      </c>
      <c r="GO712">
        <f t="shared" si="567"/>
        <v>0</v>
      </c>
      <c r="GP712">
        <f t="shared" si="568"/>
        <v>6344.35</v>
      </c>
      <c r="GR712">
        <v>0</v>
      </c>
      <c r="GS712">
        <v>3</v>
      </c>
      <c r="GT712">
        <v>0</v>
      </c>
      <c r="GU712" t="s">
        <v>3</v>
      </c>
      <c r="GV712">
        <f t="shared" si="569"/>
        <v>0</v>
      </c>
      <c r="GW712">
        <v>1</v>
      </c>
      <c r="GX712">
        <f t="shared" si="570"/>
        <v>0</v>
      </c>
      <c r="HA712">
        <v>0</v>
      </c>
      <c r="HB712">
        <v>0</v>
      </c>
      <c r="HC712">
        <f t="shared" si="571"/>
        <v>0</v>
      </c>
      <c r="HE712" t="s">
        <v>3</v>
      </c>
      <c r="HF712" t="s">
        <v>3</v>
      </c>
      <c r="HM712" t="s">
        <v>3</v>
      </c>
      <c r="HN712" t="s">
        <v>3</v>
      </c>
      <c r="HO712" t="s">
        <v>3</v>
      </c>
      <c r="HP712" t="s">
        <v>3</v>
      </c>
      <c r="HQ712" t="s">
        <v>3</v>
      </c>
      <c r="IK712">
        <v>0</v>
      </c>
    </row>
    <row r="713" spans="1:245" x14ac:dyDescent="0.2">
      <c r="A713">
        <v>17</v>
      </c>
      <c r="B713">
        <v>1</v>
      </c>
      <c r="D713">
        <f>ROW(EtalonRes!A446)</f>
        <v>446</v>
      </c>
      <c r="E713" t="s">
        <v>337</v>
      </c>
      <c r="F713" t="s">
        <v>212</v>
      </c>
      <c r="G713" t="s">
        <v>213</v>
      </c>
      <c r="H713" t="s">
        <v>39</v>
      </c>
      <c r="I713">
        <f>ROUND(1*5,9)</f>
        <v>5</v>
      </c>
      <c r="J713">
        <v>0</v>
      </c>
      <c r="K713">
        <f>ROUND(1*5,9)</f>
        <v>5</v>
      </c>
      <c r="O713">
        <f t="shared" si="539"/>
        <v>6082.4</v>
      </c>
      <c r="P713">
        <f t="shared" si="540"/>
        <v>0</v>
      </c>
      <c r="Q713">
        <f t="shared" si="541"/>
        <v>0</v>
      </c>
      <c r="R713">
        <f t="shared" si="542"/>
        <v>0</v>
      </c>
      <c r="S713">
        <f t="shared" si="543"/>
        <v>6082.4</v>
      </c>
      <c r="T713">
        <f t="shared" si="544"/>
        <v>0</v>
      </c>
      <c r="U713">
        <f t="shared" si="545"/>
        <v>10</v>
      </c>
      <c r="V713">
        <f t="shared" si="546"/>
        <v>0</v>
      </c>
      <c r="W713">
        <f t="shared" si="547"/>
        <v>0</v>
      </c>
      <c r="X713">
        <f t="shared" si="548"/>
        <v>4257.68</v>
      </c>
      <c r="Y713">
        <f t="shared" si="549"/>
        <v>608.24</v>
      </c>
      <c r="AA713">
        <v>1471531721</v>
      </c>
      <c r="AB713">
        <f t="shared" si="550"/>
        <v>1216.48</v>
      </c>
      <c r="AC713">
        <f>ROUND(((ES713*4)),6)</f>
        <v>0</v>
      </c>
      <c r="AD713">
        <f>ROUND(((((ET713*4))-((EU713*4)))+AE713),6)</f>
        <v>0</v>
      </c>
      <c r="AE713">
        <f>ROUND(((EU713*4)),6)</f>
        <v>0</v>
      </c>
      <c r="AF713">
        <f>ROUND(((EV713*4)),6)</f>
        <v>1216.48</v>
      </c>
      <c r="AG713">
        <f t="shared" si="551"/>
        <v>0</v>
      </c>
      <c r="AH713">
        <f>((EW713*4))</f>
        <v>2</v>
      </c>
      <c r="AI713">
        <f>((EX713*4))</f>
        <v>0</v>
      </c>
      <c r="AJ713">
        <f t="shared" si="552"/>
        <v>0</v>
      </c>
      <c r="AK713">
        <v>304.12</v>
      </c>
      <c r="AL713">
        <v>0</v>
      </c>
      <c r="AM713">
        <v>0</v>
      </c>
      <c r="AN713">
        <v>0</v>
      </c>
      <c r="AO713">
        <v>304.12</v>
      </c>
      <c r="AP713">
        <v>0</v>
      </c>
      <c r="AQ713">
        <v>0.5</v>
      </c>
      <c r="AR713">
        <v>0</v>
      </c>
      <c r="AS713">
        <v>0</v>
      </c>
      <c r="AT713">
        <v>70</v>
      </c>
      <c r="AU713">
        <v>10</v>
      </c>
      <c r="AV713">
        <v>1</v>
      </c>
      <c r="AW713">
        <v>1</v>
      </c>
      <c r="AZ713">
        <v>1</v>
      </c>
      <c r="BA713">
        <v>1</v>
      </c>
      <c r="BB713">
        <v>1</v>
      </c>
      <c r="BC713">
        <v>1</v>
      </c>
      <c r="BD713" t="s">
        <v>3</v>
      </c>
      <c r="BE713" t="s">
        <v>3</v>
      </c>
      <c r="BF713" t="s">
        <v>3</v>
      </c>
      <c r="BG713" t="s">
        <v>3</v>
      </c>
      <c r="BH713">
        <v>0</v>
      </c>
      <c r="BI713">
        <v>4</v>
      </c>
      <c r="BJ713" t="s">
        <v>214</v>
      </c>
      <c r="BM713">
        <v>0</v>
      </c>
      <c r="BN713">
        <v>0</v>
      </c>
      <c r="BO713" t="s">
        <v>3</v>
      </c>
      <c r="BP713">
        <v>0</v>
      </c>
      <c r="BQ713">
        <v>1</v>
      </c>
      <c r="BR713">
        <v>0</v>
      </c>
      <c r="BS713">
        <v>1</v>
      </c>
      <c r="BT713">
        <v>1</v>
      </c>
      <c r="BU713">
        <v>1</v>
      </c>
      <c r="BV713">
        <v>1</v>
      </c>
      <c r="BW713">
        <v>1</v>
      </c>
      <c r="BX713">
        <v>1</v>
      </c>
      <c r="BY713" t="s">
        <v>3</v>
      </c>
      <c r="BZ713">
        <v>70</v>
      </c>
      <c r="CA713">
        <v>10</v>
      </c>
      <c r="CB713" t="s">
        <v>3</v>
      </c>
      <c r="CE713">
        <v>0</v>
      </c>
      <c r="CF713">
        <v>0</v>
      </c>
      <c r="CG713">
        <v>0</v>
      </c>
      <c r="CM713">
        <v>0</v>
      </c>
      <c r="CN713" t="s">
        <v>3</v>
      </c>
      <c r="CO713">
        <v>0</v>
      </c>
      <c r="CP713">
        <f t="shared" si="553"/>
        <v>6082.4</v>
      </c>
      <c r="CQ713">
        <f t="shared" si="554"/>
        <v>0</v>
      </c>
      <c r="CR713">
        <f>(((((ET713*4))*BB713-((EU713*4))*BS713)+AE713*BS713)*AV713)</f>
        <v>0</v>
      </c>
      <c r="CS713">
        <f t="shared" si="555"/>
        <v>0</v>
      </c>
      <c r="CT713">
        <f t="shared" si="556"/>
        <v>1216.48</v>
      </c>
      <c r="CU713">
        <f t="shared" si="557"/>
        <v>0</v>
      </c>
      <c r="CV713">
        <f t="shared" si="558"/>
        <v>2</v>
      </c>
      <c r="CW713">
        <f t="shared" si="559"/>
        <v>0</v>
      </c>
      <c r="CX713">
        <f t="shared" si="560"/>
        <v>0</v>
      </c>
      <c r="CY713">
        <f t="shared" si="561"/>
        <v>4257.68</v>
      </c>
      <c r="CZ713">
        <f t="shared" si="562"/>
        <v>608.24</v>
      </c>
      <c r="DC713" t="s">
        <v>3</v>
      </c>
      <c r="DD713" t="s">
        <v>57</v>
      </c>
      <c r="DE713" t="s">
        <v>57</v>
      </c>
      <c r="DF713" t="s">
        <v>57</v>
      </c>
      <c r="DG713" t="s">
        <v>57</v>
      </c>
      <c r="DH713" t="s">
        <v>3</v>
      </c>
      <c r="DI713" t="s">
        <v>57</v>
      </c>
      <c r="DJ713" t="s">
        <v>57</v>
      </c>
      <c r="DK713" t="s">
        <v>3</v>
      </c>
      <c r="DL713" t="s">
        <v>3</v>
      </c>
      <c r="DM713" t="s">
        <v>3</v>
      </c>
      <c r="DN713">
        <v>0</v>
      </c>
      <c r="DO713">
        <v>0</v>
      </c>
      <c r="DP713">
        <v>1</v>
      </c>
      <c r="DQ713">
        <v>1</v>
      </c>
      <c r="DU713">
        <v>16987630</v>
      </c>
      <c r="DV713" t="s">
        <v>39</v>
      </c>
      <c r="DW713" t="s">
        <v>39</v>
      </c>
      <c r="DX713">
        <v>1</v>
      </c>
      <c r="DZ713" t="s">
        <v>3</v>
      </c>
      <c r="EA713" t="s">
        <v>3</v>
      </c>
      <c r="EB713" t="s">
        <v>3</v>
      </c>
      <c r="EC713" t="s">
        <v>3</v>
      </c>
      <c r="EE713">
        <v>1441815344</v>
      </c>
      <c r="EF713">
        <v>1</v>
      </c>
      <c r="EG713" t="s">
        <v>21</v>
      </c>
      <c r="EH713">
        <v>0</v>
      </c>
      <c r="EI713" t="s">
        <v>3</v>
      </c>
      <c r="EJ713">
        <v>4</v>
      </c>
      <c r="EK713">
        <v>0</v>
      </c>
      <c r="EL713" t="s">
        <v>22</v>
      </c>
      <c r="EM713" t="s">
        <v>23</v>
      </c>
      <c r="EO713" t="s">
        <v>3</v>
      </c>
      <c r="EQ713">
        <v>0</v>
      </c>
      <c r="ER713">
        <v>304.12</v>
      </c>
      <c r="ES713">
        <v>0</v>
      </c>
      <c r="ET713">
        <v>0</v>
      </c>
      <c r="EU713">
        <v>0</v>
      </c>
      <c r="EV713">
        <v>304.12</v>
      </c>
      <c r="EW713">
        <v>0.5</v>
      </c>
      <c r="EX713">
        <v>0</v>
      </c>
      <c r="EY713">
        <v>0</v>
      </c>
      <c r="FQ713">
        <v>0</v>
      </c>
      <c r="FR713">
        <f t="shared" si="563"/>
        <v>0</v>
      </c>
      <c r="FS713">
        <v>0</v>
      </c>
      <c r="FX713">
        <v>70</v>
      </c>
      <c r="FY713">
        <v>10</v>
      </c>
      <c r="GA713" t="s">
        <v>3</v>
      </c>
      <c r="GD713">
        <v>0</v>
      </c>
      <c r="GF713">
        <v>-964383457</v>
      </c>
      <c r="GG713">
        <v>2</v>
      </c>
      <c r="GH713">
        <v>1</v>
      </c>
      <c r="GI713">
        <v>-2</v>
      </c>
      <c r="GJ713">
        <v>0</v>
      </c>
      <c r="GK713">
        <f>ROUND(R713*(R12)/100,2)</f>
        <v>0</v>
      </c>
      <c r="GL713">
        <f t="shared" si="564"/>
        <v>0</v>
      </c>
      <c r="GM713">
        <f t="shared" si="565"/>
        <v>10948.32</v>
      </c>
      <c r="GN713">
        <f t="shared" si="566"/>
        <v>0</v>
      </c>
      <c r="GO713">
        <f t="shared" si="567"/>
        <v>0</v>
      </c>
      <c r="GP713">
        <f t="shared" si="568"/>
        <v>10948.32</v>
      </c>
      <c r="GR713">
        <v>0</v>
      </c>
      <c r="GS713">
        <v>3</v>
      </c>
      <c r="GT713">
        <v>0</v>
      </c>
      <c r="GU713" t="s">
        <v>3</v>
      </c>
      <c r="GV713">
        <f t="shared" si="569"/>
        <v>0</v>
      </c>
      <c r="GW713">
        <v>1</v>
      </c>
      <c r="GX713">
        <f t="shared" si="570"/>
        <v>0</v>
      </c>
      <c r="HA713">
        <v>0</v>
      </c>
      <c r="HB713">
        <v>0</v>
      </c>
      <c r="HC713">
        <f t="shared" si="571"/>
        <v>0</v>
      </c>
      <c r="HE713" t="s">
        <v>3</v>
      </c>
      <c r="HF713" t="s">
        <v>3</v>
      </c>
      <c r="HM713" t="s">
        <v>3</v>
      </c>
      <c r="HN713" t="s">
        <v>3</v>
      </c>
      <c r="HO713" t="s">
        <v>3</v>
      </c>
      <c r="HP713" t="s">
        <v>3</v>
      </c>
      <c r="HQ713" t="s">
        <v>3</v>
      </c>
      <c r="IK713">
        <v>0</v>
      </c>
    </row>
    <row r="714" spans="1:245" x14ac:dyDescent="0.2">
      <c r="A714">
        <v>17</v>
      </c>
      <c r="B714">
        <v>1</v>
      </c>
      <c r="D714">
        <f>ROW(EtalonRes!A447)</f>
        <v>447</v>
      </c>
      <c r="E714" t="s">
        <v>3</v>
      </c>
      <c r="F714" t="s">
        <v>215</v>
      </c>
      <c r="G714" t="s">
        <v>216</v>
      </c>
      <c r="H714" t="s">
        <v>39</v>
      </c>
      <c r="I714">
        <f>ROUND(1*5,9)</f>
        <v>5</v>
      </c>
      <c r="J714">
        <v>0</v>
      </c>
      <c r="K714">
        <f>ROUND(1*5,9)</f>
        <v>5</v>
      </c>
      <c r="O714">
        <f t="shared" si="539"/>
        <v>5352.65</v>
      </c>
      <c r="P714">
        <f t="shared" si="540"/>
        <v>0</v>
      </c>
      <c r="Q714">
        <f t="shared" si="541"/>
        <v>0</v>
      </c>
      <c r="R714">
        <f t="shared" si="542"/>
        <v>0</v>
      </c>
      <c r="S714">
        <f t="shared" si="543"/>
        <v>5352.65</v>
      </c>
      <c r="T714">
        <f t="shared" si="544"/>
        <v>0</v>
      </c>
      <c r="U714">
        <f t="shared" si="545"/>
        <v>8.8000000000000007</v>
      </c>
      <c r="V714">
        <f t="shared" si="546"/>
        <v>0</v>
      </c>
      <c r="W714">
        <f t="shared" si="547"/>
        <v>0</v>
      </c>
      <c r="X714">
        <f t="shared" si="548"/>
        <v>3746.86</v>
      </c>
      <c r="Y714">
        <f t="shared" si="549"/>
        <v>535.27</v>
      </c>
      <c r="AA714">
        <v>-1</v>
      </c>
      <c r="AB714">
        <f t="shared" si="550"/>
        <v>1070.53</v>
      </c>
      <c r="AC714">
        <f>ROUND((ES714),6)</f>
        <v>0</v>
      </c>
      <c r="AD714">
        <f>ROUND((((ET714)-(EU714))+AE714),6)</f>
        <v>0</v>
      </c>
      <c r="AE714">
        <f>ROUND((EU714),6)</f>
        <v>0</v>
      </c>
      <c r="AF714">
        <f>ROUND((EV714),6)</f>
        <v>1070.53</v>
      </c>
      <c r="AG714">
        <f t="shared" si="551"/>
        <v>0</v>
      </c>
      <c r="AH714">
        <f>(EW714)</f>
        <v>1.76</v>
      </c>
      <c r="AI714">
        <f>(EX714)</f>
        <v>0</v>
      </c>
      <c r="AJ714">
        <f t="shared" si="552"/>
        <v>0</v>
      </c>
      <c r="AK714">
        <v>1070.53</v>
      </c>
      <c r="AL714">
        <v>0</v>
      </c>
      <c r="AM714">
        <v>0</v>
      </c>
      <c r="AN714">
        <v>0</v>
      </c>
      <c r="AO714">
        <v>1070.53</v>
      </c>
      <c r="AP714">
        <v>0</v>
      </c>
      <c r="AQ714">
        <v>1.76</v>
      </c>
      <c r="AR714">
        <v>0</v>
      </c>
      <c r="AS714">
        <v>0</v>
      </c>
      <c r="AT714">
        <v>70</v>
      </c>
      <c r="AU714">
        <v>10</v>
      </c>
      <c r="AV714">
        <v>1</v>
      </c>
      <c r="AW714">
        <v>1</v>
      </c>
      <c r="AZ714">
        <v>1</v>
      </c>
      <c r="BA714">
        <v>1</v>
      </c>
      <c r="BB714">
        <v>1</v>
      </c>
      <c r="BC714">
        <v>1</v>
      </c>
      <c r="BD714" t="s">
        <v>3</v>
      </c>
      <c r="BE714" t="s">
        <v>3</v>
      </c>
      <c r="BF714" t="s">
        <v>3</v>
      </c>
      <c r="BG714" t="s">
        <v>3</v>
      </c>
      <c r="BH714">
        <v>0</v>
      </c>
      <c r="BI714">
        <v>4</v>
      </c>
      <c r="BJ714" t="s">
        <v>217</v>
      </c>
      <c r="BM714">
        <v>0</v>
      </c>
      <c r="BN714">
        <v>0</v>
      </c>
      <c r="BO714" t="s">
        <v>3</v>
      </c>
      <c r="BP714">
        <v>0</v>
      </c>
      <c r="BQ714">
        <v>1</v>
      </c>
      <c r="BR714">
        <v>0</v>
      </c>
      <c r="BS714">
        <v>1</v>
      </c>
      <c r="BT714">
        <v>1</v>
      </c>
      <c r="BU714">
        <v>1</v>
      </c>
      <c r="BV714">
        <v>1</v>
      </c>
      <c r="BW714">
        <v>1</v>
      </c>
      <c r="BX714">
        <v>1</v>
      </c>
      <c r="BY714" t="s">
        <v>3</v>
      </c>
      <c r="BZ714">
        <v>70</v>
      </c>
      <c r="CA714">
        <v>10</v>
      </c>
      <c r="CB714" t="s">
        <v>3</v>
      </c>
      <c r="CE714">
        <v>0</v>
      </c>
      <c r="CF714">
        <v>0</v>
      </c>
      <c r="CG714">
        <v>0</v>
      </c>
      <c r="CM714">
        <v>0</v>
      </c>
      <c r="CN714" t="s">
        <v>3</v>
      </c>
      <c r="CO714">
        <v>0</v>
      </c>
      <c r="CP714">
        <f t="shared" si="553"/>
        <v>5352.65</v>
      </c>
      <c r="CQ714">
        <f t="shared" si="554"/>
        <v>0</v>
      </c>
      <c r="CR714">
        <f>((((ET714)*BB714-(EU714)*BS714)+AE714*BS714)*AV714)</f>
        <v>0</v>
      </c>
      <c r="CS714">
        <f t="shared" si="555"/>
        <v>0</v>
      </c>
      <c r="CT714">
        <f t="shared" si="556"/>
        <v>1070.53</v>
      </c>
      <c r="CU714">
        <f t="shared" si="557"/>
        <v>0</v>
      </c>
      <c r="CV714">
        <f t="shared" si="558"/>
        <v>1.76</v>
      </c>
      <c r="CW714">
        <f t="shared" si="559"/>
        <v>0</v>
      </c>
      <c r="CX714">
        <f t="shared" si="560"/>
        <v>0</v>
      </c>
      <c r="CY714">
        <f t="shared" si="561"/>
        <v>3746.855</v>
      </c>
      <c r="CZ714">
        <f t="shared" si="562"/>
        <v>535.26499999999999</v>
      </c>
      <c r="DC714" t="s">
        <v>3</v>
      </c>
      <c r="DD714" t="s">
        <v>3</v>
      </c>
      <c r="DE714" t="s">
        <v>3</v>
      </c>
      <c r="DF714" t="s">
        <v>3</v>
      </c>
      <c r="DG714" t="s">
        <v>3</v>
      </c>
      <c r="DH714" t="s">
        <v>3</v>
      </c>
      <c r="DI714" t="s">
        <v>3</v>
      </c>
      <c r="DJ714" t="s">
        <v>3</v>
      </c>
      <c r="DK714" t="s">
        <v>3</v>
      </c>
      <c r="DL714" t="s">
        <v>3</v>
      </c>
      <c r="DM714" t="s">
        <v>3</v>
      </c>
      <c r="DN714">
        <v>0</v>
      </c>
      <c r="DO714">
        <v>0</v>
      </c>
      <c r="DP714">
        <v>1</v>
      </c>
      <c r="DQ714">
        <v>1</v>
      </c>
      <c r="DU714">
        <v>16987630</v>
      </c>
      <c r="DV714" t="s">
        <v>39</v>
      </c>
      <c r="DW714" t="s">
        <v>39</v>
      </c>
      <c r="DX714">
        <v>1</v>
      </c>
      <c r="DZ714" t="s">
        <v>3</v>
      </c>
      <c r="EA714" t="s">
        <v>3</v>
      </c>
      <c r="EB714" t="s">
        <v>3</v>
      </c>
      <c r="EC714" t="s">
        <v>3</v>
      </c>
      <c r="EE714">
        <v>1441815344</v>
      </c>
      <c r="EF714">
        <v>1</v>
      </c>
      <c r="EG714" t="s">
        <v>21</v>
      </c>
      <c r="EH714">
        <v>0</v>
      </c>
      <c r="EI714" t="s">
        <v>3</v>
      </c>
      <c r="EJ714">
        <v>4</v>
      </c>
      <c r="EK714">
        <v>0</v>
      </c>
      <c r="EL714" t="s">
        <v>22</v>
      </c>
      <c r="EM714" t="s">
        <v>23</v>
      </c>
      <c r="EO714" t="s">
        <v>3</v>
      </c>
      <c r="EQ714">
        <v>1311744</v>
      </c>
      <c r="ER714">
        <v>1070.53</v>
      </c>
      <c r="ES714">
        <v>0</v>
      </c>
      <c r="ET714">
        <v>0</v>
      </c>
      <c r="EU714">
        <v>0</v>
      </c>
      <c r="EV714">
        <v>1070.53</v>
      </c>
      <c r="EW714">
        <v>1.76</v>
      </c>
      <c r="EX714">
        <v>0</v>
      </c>
      <c r="EY714">
        <v>0</v>
      </c>
      <c r="FQ714">
        <v>0</v>
      </c>
      <c r="FR714">
        <f t="shared" si="563"/>
        <v>0</v>
      </c>
      <c r="FS714">
        <v>0</v>
      </c>
      <c r="FX714">
        <v>70</v>
      </c>
      <c r="FY714">
        <v>10</v>
      </c>
      <c r="GA714" t="s">
        <v>3</v>
      </c>
      <c r="GD714">
        <v>0</v>
      </c>
      <c r="GF714">
        <v>-1392204801</v>
      </c>
      <c r="GG714">
        <v>2</v>
      </c>
      <c r="GH714">
        <v>1</v>
      </c>
      <c r="GI714">
        <v>-2</v>
      </c>
      <c r="GJ714">
        <v>0</v>
      </c>
      <c r="GK714">
        <f>ROUND(R714*(R12)/100,2)</f>
        <v>0</v>
      </c>
      <c r="GL714">
        <f t="shared" si="564"/>
        <v>0</v>
      </c>
      <c r="GM714">
        <f t="shared" si="565"/>
        <v>9634.7800000000007</v>
      </c>
      <c r="GN714">
        <f t="shared" si="566"/>
        <v>0</v>
      </c>
      <c r="GO714">
        <f t="shared" si="567"/>
        <v>0</v>
      </c>
      <c r="GP714">
        <f t="shared" si="568"/>
        <v>9634.7800000000007</v>
      </c>
      <c r="GR714">
        <v>0</v>
      </c>
      <c r="GS714">
        <v>3</v>
      </c>
      <c r="GT714">
        <v>0</v>
      </c>
      <c r="GU714" t="s">
        <v>3</v>
      </c>
      <c r="GV714">
        <f t="shared" si="569"/>
        <v>0</v>
      </c>
      <c r="GW714">
        <v>1</v>
      </c>
      <c r="GX714">
        <f t="shared" si="570"/>
        <v>0</v>
      </c>
      <c r="HA714">
        <v>0</v>
      </c>
      <c r="HB714">
        <v>0</v>
      </c>
      <c r="HC714">
        <f t="shared" si="571"/>
        <v>0</v>
      </c>
      <c r="HE714" t="s">
        <v>3</v>
      </c>
      <c r="HF714" t="s">
        <v>3</v>
      </c>
      <c r="HM714" t="s">
        <v>3</v>
      </c>
      <c r="HN714" t="s">
        <v>3</v>
      </c>
      <c r="HO714" t="s">
        <v>3</v>
      </c>
      <c r="HP714" t="s">
        <v>3</v>
      </c>
      <c r="HQ714" t="s">
        <v>3</v>
      </c>
      <c r="IK714">
        <v>0</v>
      </c>
    </row>
    <row r="715" spans="1:245" x14ac:dyDescent="0.2">
      <c r="A715">
        <v>17</v>
      </c>
      <c r="B715">
        <v>1</v>
      </c>
      <c r="D715">
        <f>ROW(EtalonRes!A450)</f>
        <v>450</v>
      </c>
      <c r="E715" t="s">
        <v>3</v>
      </c>
      <c r="F715" t="s">
        <v>218</v>
      </c>
      <c r="G715" t="s">
        <v>219</v>
      </c>
      <c r="H715" t="s">
        <v>39</v>
      </c>
      <c r="I715">
        <f>ROUND(1*5,9)</f>
        <v>5</v>
      </c>
      <c r="J715">
        <v>0</v>
      </c>
      <c r="K715">
        <f>ROUND(1*5,9)</f>
        <v>5</v>
      </c>
      <c r="O715">
        <f t="shared" si="539"/>
        <v>10306.1</v>
      </c>
      <c r="P715">
        <f t="shared" si="540"/>
        <v>26.55</v>
      </c>
      <c r="Q715">
        <f t="shared" si="541"/>
        <v>0</v>
      </c>
      <c r="R715">
        <f t="shared" si="542"/>
        <v>0</v>
      </c>
      <c r="S715">
        <f t="shared" si="543"/>
        <v>10279.549999999999</v>
      </c>
      <c r="T715">
        <f t="shared" si="544"/>
        <v>0</v>
      </c>
      <c r="U715">
        <f t="shared" si="545"/>
        <v>16.899999999999999</v>
      </c>
      <c r="V715">
        <f t="shared" si="546"/>
        <v>0</v>
      </c>
      <c r="W715">
        <f t="shared" si="547"/>
        <v>0</v>
      </c>
      <c r="X715">
        <f t="shared" si="548"/>
        <v>7195.69</v>
      </c>
      <c r="Y715">
        <f t="shared" si="549"/>
        <v>1027.96</v>
      </c>
      <c r="AA715">
        <v>-1</v>
      </c>
      <c r="AB715">
        <f t="shared" si="550"/>
        <v>2061.2199999999998</v>
      </c>
      <c r="AC715">
        <f>ROUND((ES715),6)</f>
        <v>5.31</v>
      </c>
      <c r="AD715">
        <f>ROUND((((ET715)-(EU715))+AE715),6)</f>
        <v>0</v>
      </c>
      <c r="AE715">
        <f>ROUND((EU715),6)</f>
        <v>0</v>
      </c>
      <c r="AF715">
        <f>ROUND((EV715),6)</f>
        <v>2055.91</v>
      </c>
      <c r="AG715">
        <f t="shared" si="551"/>
        <v>0</v>
      </c>
      <c r="AH715">
        <f>(EW715)</f>
        <v>3.38</v>
      </c>
      <c r="AI715">
        <f>(EX715)</f>
        <v>0</v>
      </c>
      <c r="AJ715">
        <f t="shared" si="552"/>
        <v>0</v>
      </c>
      <c r="AK715">
        <v>2061.2199999999998</v>
      </c>
      <c r="AL715">
        <v>5.31</v>
      </c>
      <c r="AM715">
        <v>0</v>
      </c>
      <c r="AN715">
        <v>0</v>
      </c>
      <c r="AO715">
        <v>2055.91</v>
      </c>
      <c r="AP715">
        <v>0</v>
      </c>
      <c r="AQ715">
        <v>3.38</v>
      </c>
      <c r="AR715">
        <v>0</v>
      </c>
      <c r="AS715">
        <v>0</v>
      </c>
      <c r="AT715">
        <v>70</v>
      </c>
      <c r="AU715">
        <v>10</v>
      </c>
      <c r="AV715">
        <v>1</v>
      </c>
      <c r="AW715">
        <v>1</v>
      </c>
      <c r="AZ715">
        <v>1</v>
      </c>
      <c r="BA715">
        <v>1</v>
      </c>
      <c r="BB715">
        <v>1</v>
      </c>
      <c r="BC715">
        <v>1</v>
      </c>
      <c r="BD715" t="s">
        <v>3</v>
      </c>
      <c r="BE715" t="s">
        <v>3</v>
      </c>
      <c r="BF715" t="s">
        <v>3</v>
      </c>
      <c r="BG715" t="s">
        <v>3</v>
      </c>
      <c r="BH715">
        <v>0</v>
      </c>
      <c r="BI715">
        <v>4</v>
      </c>
      <c r="BJ715" t="s">
        <v>220</v>
      </c>
      <c r="BM715">
        <v>0</v>
      </c>
      <c r="BN715">
        <v>0</v>
      </c>
      <c r="BO715" t="s">
        <v>3</v>
      </c>
      <c r="BP715">
        <v>0</v>
      </c>
      <c r="BQ715">
        <v>1</v>
      </c>
      <c r="BR715">
        <v>0</v>
      </c>
      <c r="BS715">
        <v>1</v>
      </c>
      <c r="BT715">
        <v>1</v>
      </c>
      <c r="BU715">
        <v>1</v>
      </c>
      <c r="BV715">
        <v>1</v>
      </c>
      <c r="BW715">
        <v>1</v>
      </c>
      <c r="BX715">
        <v>1</v>
      </c>
      <c r="BY715" t="s">
        <v>3</v>
      </c>
      <c r="BZ715">
        <v>70</v>
      </c>
      <c r="CA715">
        <v>10</v>
      </c>
      <c r="CB715" t="s">
        <v>3</v>
      </c>
      <c r="CE715">
        <v>0</v>
      </c>
      <c r="CF715">
        <v>0</v>
      </c>
      <c r="CG715">
        <v>0</v>
      </c>
      <c r="CM715">
        <v>0</v>
      </c>
      <c r="CN715" t="s">
        <v>3</v>
      </c>
      <c r="CO715">
        <v>0</v>
      </c>
      <c r="CP715">
        <f t="shared" si="553"/>
        <v>10306.099999999999</v>
      </c>
      <c r="CQ715">
        <f t="shared" si="554"/>
        <v>5.31</v>
      </c>
      <c r="CR715">
        <f>((((ET715)*BB715-(EU715)*BS715)+AE715*BS715)*AV715)</f>
        <v>0</v>
      </c>
      <c r="CS715">
        <f t="shared" si="555"/>
        <v>0</v>
      </c>
      <c r="CT715">
        <f t="shared" si="556"/>
        <v>2055.91</v>
      </c>
      <c r="CU715">
        <f t="shared" si="557"/>
        <v>0</v>
      </c>
      <c r="CV715">
        <f t="shared" si="558"/>
        <v>3.38</v>
      </c>
      <c r="CW715">
        <f t="shared" si="559"/>
        <v>0</v>
      </c>
      <c r="CX715">
        <f t="shared" si="560"/>
        <v>0</v>
      </c>
      <c r="CY715">
        <f t="shared" si="561"/>
        <v>7195.6850000000004</v>
      </c>
      <c r="CZ715">
        <f t="shared" si="562"/>
        <v>1027.9549999999999</v>
      </c>
      <c r="DC715" t="s">
        <v>3</v>
      </c>
      <c r="DD715" t="s">
        <v>3</v>
      </c>
      <c r="DE715" t="s">
        <v>3</v>
      </c>
      <c r="DF715" t="s">
        <v>3</v>
      </c>
      <c r="DG715" t="s">
        <v>3</v>
      </c>
      <c r="DH715" t="s">
        <v>3</v>
      </c>
      <c r="DI715" t="s">
        <v>3</v>
      </c>
      <c r="DJ715" t="s">
        <v>3</v>
      </c>
      <c r="DK715" t="s">
        <v>3</v>
      </c>
      <c r="DL715" t="s">
        <v>3</v>
      </c>
      <c r="DM715" t="s">
        <v>3</v>
      </c>
      <c r="DN715">
        <v>0</v>
      </c>
      <c r="DO715">
        <v>0</v>
      </c>
      <c r="DP715">
        <v>1</v>
      </c>
      <c r="DQ715">
        <v>1</v>
      </c>
      <c r="DU715">
        <v>16987630</v>
      </c>
      <c r="DV715" t="s">
        <v>39</v>
      </c>
      <c r="DW715" t="s">
        <v>39</v>
      </c>
      <c r="DX715">
        <v>1</v>
      </c>
      <c r="DZ715" t="s">
        <v>3</v>
      </c>
      <c r="EA715" t="s">
        <v>3</v>
      </c>
      <c r="EB715" t="s">
        <v>3</v>
      </c>
      <c r="EC715" t="s">
        <v>3</v>
      </c>
      <c r="EE715">
        <v>1441815344</v>
      </c>
      <c r="EF715">
        <v>1</v>
      </c>
      <c r="EG715" t="s">
        <v>21</v>
      </c>
      <c r="EH715">
        <v>0</v>
      </c>
      <c r="EI715" t="s">
        <v>3</v>
      </c>
      <c r="EJ715">
        <v>4</v>
      </c>
      <c r="EK715">
        <v>0</v>
      </c>
      <c r="EL715" t="s">
        <v>22</v>
      </c>
      <c r="EM715" t="s">
        <v>23</v>
      </c>
      <c r="EO715" t="s">
        <v>3</v>
      </c>
      <c r="EQ715">
        <v>1311744</v>
      </c>
      <c r="ER715">
        <v>2061.2199999999998</v>
      </c>
      <c r="ES715">
        <v>5.31</v>
      </c>
      <c r="ET715">
        <v>0</v>
      </c>
      <c r="EU715">
        <v>0</v>
      </c>
      <c r="EV715">
        <v>2055.91</v>
      </c>
      <c r="EW715">
        <v>3.38</v>
      </c>
      <c r="EX715">
        <v>0</v>
      </c>
      <c r="EY715">
        <v>0</v>
      </c>
      <c r="FQ715">
        <v>0</v>
      </c>
      <c r="FR715">
        <f t="shared" si="563"/>
        <v>0</v>
      </c>
      <c r="FS715">
        <v>0</v>
      </c>
      <c r="FX715">
        <v>70</v>
      </c>
      <c r="FY715">
        <v>10</v>
      </c>
      <c r="GA715" t="s">
        <v>3</v>
      </c>
      <c r="GD715">
        <v>0</v>
      </c>
      <c r="GF715">
        <v>734292325</v>
      </c>
      <c r="GG715">
        <v>2</v>
      </c>
      <c r="GH715">
        <v>1</v>
      </c>
      <c r="GI715">
        <v>-2</v>
      </c>
      <c r="GJ715">
        <v>0</v>
      </c>
      <c r="GK715">
        <f>ROUND(R715*(R12)/100,2)</f>
        <v>0</v>
      </c>
      <c r="GL715">
        <f t="shared" si="564"/>
        <v>0</v>
      </c>
      <c r="GM715">
        <f t="shared" si="565"/>
        <v>18529.75</v>
      </c>
      <c r="GN715">
        <f t="shared" si="566"/>
        <v>0</v>
      </c>
      <c r="GO715">
        <f t="shared" si="567"/>
        <v>0</v>
      </c>
      <c r="GP715">
        <f t="shared" si="568"/>
        <v>18529.75</v>
      </c>
      <c r="GR715">
        <v>0</v>
      </c>
      <c r="GS715">
        <v>3</v>
      </c>
      <c r="GT715">
        <v>0</v>
      </c>
      <c r="GU715" t="s">
        <v>3</v>
      </c>
      <c r="GV715">
        <f t="shared" si="569"/>
        <v>0</v>
      </c>
      <c r="GW715">
        <v>1</v>
      </c>
      <c r="GX715">
        <f t="shared" si="570"/>
        <v>0</v>
      </c>
      <c r="HA715">
        <v>0</v>
      </c>
      <c r="HB715">
        <v>0</v>
      </c>
      <c r="HC715">
        <f t="shared" si="571"/>
        <v>0</v>
      </c>
      <c r="HE715" t="s">
        <v>3</v>
      </c>
      <c r="HF715" t="s">
        <v>3</v>
      </c>
      <c r="HM715" t="s">
        <v>3</v>
      </c>
      <c r="HN715" t="s">
        <v>3</v>
      </c>
      <c r="HO715" t="s">
        <v>3</v>
      </c>
      <c r="HP715" t="s">
        <v>3</v>
      </c>
      <c r="HQ715" t="s">
        <v>3</v>
      </c>
      <c r="IK715">
        <v>0</v>
      </c>
    </row>
    <row r="716" spans="1:245" x14ac:dyDescent="0.2">
      <c r="A716">
        <v>17</v>
      </c>
      <c r="B716">
        <v>1</v>
      </c>
      <c r="D716">
        <f>ROW(EtalonRes!A453)</f>
        <v>453</v>
      </c>
      <c r="E716" t="s">
        <v>338</v>
      </c>
      <c r="F716" t="s">
        <v>222</v>
      </c>
      <c r="G716" t="s">
        <v>223</v>
      </c>
      <c r="H716" t="s">
        <v>31</v>
      </c>
      <c r="I716">
        <f>ROUND((4*5)/100,9)</f>
        <v>0.2</v>
      </c>
      <c r="J716">
        <v>0</v>
      </c>
      <c r="K716">
        <f>ROUND((4*5)/100,9)</f>
        <v>0.2</v>
      </c>
      <c r="O716">
        <f t="shared" si="539"/>
        <v>3299.95</v>
      </c>
      <c r="P716">
        <f t="shared" si="540"/>
        <v>0.75</v>
      </c>
      <c r="Q716">
        <f t="shared" si="541"/>
        <v>729.69</v>
      </c>
      <c r="R716">
        <f t="shared" si="542"/>
        <v>462.67</v>
      </c>
      <c r="S716">
        <f t="shared" si="543"/>
        <v>2569.5100000000002</v>
      </c>
      <c r="T716">
        <f t="shared" si="544"/>
        <v>0</v>
      </c>
      <c r="U716">
        <f t="shared" si="545"/>
        <v>4.8000000000000007</v>
      </c>
      <c r="V716">
        <f t="shared" si="546"/>
        <v>0</v>
      </c>
      <c r="W716">
        <f t="shared" si="547"/>
        <v>0</v>
      </c>
      <c r="X716">
        <f t="shared" si="548"/>
        <v>1798.66</v>
      </c>
      <c r="Y716">
        <f t="shared" si="549"/>
        <v>256.95</v>
      </c>
      <c r="AA716">
        <v>1471531721</v>
      </c>
      <c r="AB716">
        <f t="shared" si="550"/>
        <v>16499.759999999998</v>
      </c>
      <c r="AC716">
        <f>ROUND(((ES716*4)),6)</f>
        <v>3.76</v>
      </c>
      <c r="AD716">
        <f>ROUND(((((ET716*4))-((EU716*4)))+AE716),6)</f>
        <v>3648.44</v>
      </c>
      <c r="AE716">
        <f>ROUND(((EU716*4)),6)</f>
        <v>2313.36</v>
      </c>
      <c r="AF716">
        <f>ROUND(((EV716*4)),6)</f>
        <v>12847.56</v>
      </c>
      <c r="AG716">
        <f t="shared" si="551"/>
        <v>0</v>
      </c>
      <c r="AH716">
        <f>((EW716*4))</f>
        <v>24</v>
      </c>
      <c r="AI716">
        <f>((EX716*4))</f>
        <v>0</v>
      </c>
      <c r="AJ716">
        <f t="shared" si="552"/>
        <v>0</v>
      </c>
      <c r="AK716">
        <v>4124.9399999999996</v>
      </c>
      <c r="AL716">
        <v>0.94</v>
      </c>
      <c r="AM716">
        <v>912.11</v>
      </c>
      <c r="AN716">
        <v>578.34</v>
      </c>
      <c r="AO716">
        <v>3211.89</v>
      </c>
      <c r="AP716">
        <v>0</v>
      </c>
      <c r="AQ716">
        <v>6</v>
      </c>
      <c r="AR716">
        <v>0</v>
      </c>
      <c r="AS716">
        <v>0</v>
      </c>
      <c r="AT716">
        <v>70</v>
      </c>
      <c r="AU716">
        <v>10</v>
      </c>
      <c r="AV716">
        <v>1</v>
      </c>
      <c r="AW716">
        <v>1</v>
      </c>
      <c r="AZ716">
        <v>1</v>
      </c>
      <c r="BA716">
        <v>1</v>
      </c>
      <c r="BB716">
        <v>1</v>
      </c>
      <c r="BC716">
        <v>1</v>
      </c>
      <c r="BD716" t="s">
        <v>3</v>
      </c>
      <c r="BE716" t="s">
        <v>3</v>
      </c>
      <c r="BF716" t="s">
        <v>3</v>
      </c>
      <c r="BG716" t="s">
        <v>3</v>
      </c>
      <c r="BH716">
        <v>0</v>
      </c>
      <c r="BI716">
        <v>4</v>
      </c>
      <c r="BJ716" t="s">
        <v>224</v>
      </c>
      <c r="BM716">
        <v>0</v>
      </c>
      <c r="BN716">
        <v>0</v>
      </c>
      <c r="BO716" t="s">
        <v>3</v>
      </c>
      <c r="BP716">
        <v>0</v>
      </c>
      <c r="BQ716">
        <v>1</v>
      </c>
      <c r="BR716">
        <v>0</v>
      </c>
      <c r="BS716">
        <v>1</v>
      </c>
      <c r="BT716">
        <v>1</v>
      </c>
      <c r="BU716">
        <v>1</v>
      </c>
      <c r="BV716">
        <v>1</v>
      </c>
      <c r="BW716">
        <v>1</v>
      </c>
      <c r="BX716">
        <v>1</v>
      </c>
      <c r="BY716" t="s">
        <v>3</v>
      </c>
      <c r="BZ716">
        <v>70</v>
      </c>
      <c r="CA716">
        <v>10</v>
      </c>
      <c r="CB716" t="s">
        <v>3</v>
      </c>
      <c r="CE716">
        <v>0</v>
      </c>
      <c r="CF716">
        <v>0</v>
      </c>
      <c r="CG716">
        <v>0</v>
      </c>
      <c r="CM716">
        <v>0</v>
      </c>
      <c r="CN716" t="s">
        <v>3</v>
      </c>
      <c r="CO716">
        <v>0</v>
      </c>
      <c r="CP716">
        <f t="shared" si="553"/>
        <v>3299.9500000000003</v>
      </c>
      <c r="CQ716">
        <f t="shared" si="554"/>
        <v>3.76</v>
      </c>
      <c r="CR716">
        <f>(((((ET716*4))*BB716-((EU716*4))*BS716)+AE716*BS716)*AV716)</f>
        <v>3648.44</v>
      </c>
      <c r="CS716">
        <f t="shared" si="555"/>
        <v>2313.36</v>
      </c>
      <c r="CT716">
        <f t="shared" si="556"/>
        <v>12847.56</v>
      </c>
      <c r="CU716">
        <f t="shared" si="557"/>
        <v>0</v>
      </c>
      <c r="CV716">
        <f t="shared" si="558"/>
        <v>24</v>
      </c>
      <c r="CW716">
        <f t="shared" si="559"/>
        <v>0</v>
      </c>
      <c r="CX716">
        <f t="shared" si="560"/>
        <v>0</v>
      </c>
      <c r="CY716">
        <f t="shared" si="561"/>
        <v>1798.6570000000002</v>
      </c>
      <c r="CZ716">
        <f t="shared" si="562"/>
        <v>256.95100000000002</v>
      </c>
      <c r="DC716" t="s">
        <v>3</v>
      </c>
      <c r="DD716" t="s">
        <v>57</v>
      </c>
      <c r="DE716" t="s">
        <v>57</v>
      </c>
      <c r="DF716" t="s">
        <v>57</v>
      </c>
      <c r="DG716" t="s">
        <v>57</v>
      </c>
      <c r="DH716" t="s">
        <v>3</v>
      </c>
      <c r="DI716" t="s">
        <v>57</v>
      </c>
      <c r="DJ716" t="s">
        <v>57</v>
      </c>
      <c r="DK716" t="s">
        <v>3</v>
      </c>
      <c r="DL716" t="s">
        <v>3</v>
      </c>
      <c r="DM716" t="s">
        <v>3</v>
      </c>
      <c r="DN716">
        <v>0</v>
      </c>
      <c r="DO716">
        <v>0</v>
      </c>
      <c r="DP716">
        <v>1</v>
      </c>
      <c r="DQ716">
        <v>1</v>
      </c>
      <c r="DU716">
        <v>16987630</v>
      </c>
      <c r="DV716" t="s">
        <v>31</v>
      </c>
      <c r="DW716" t="s">
        <v>31</v>
      </c>
      <c r="DX716">
        <v>100</v>
      </c>
      <c r="DZ716" t="s">
        <v>3</v>
      </c>
      <c r="EA716" t="s">
        <v>3</v>
      </c>
      <c r="EB716" t="s">
        <v>3</v>
      </c>
      <c r="EC716" t="s">
        <v>3</v>
      </c>
      <c r="EE716">
        <v>1441815344</v>
      </c>
      <c r="EF716">
        <v>1</v>
      </c>
      <c r="EG716" t="s">
        <v>21</v>
      </c>
      <c r="EH716">
        <v>0</v>
      </c>
      <c r="EI716" t="s">
        <v>3</v>
      </c>
      <c r="EJ716">
        <v>4</v>
      </c>
      <c r="EK716">
        <v>0</v>
      </c>
      <c r="EL716" t="s">
        <v>22</v>
      </c>
      <c r="EM716" t="s">
        <v>23</v>
      </c>
      <c r="EO716" t="s">
        <v>3</v>
      </c>
      <c r="EQ716">
        <v>0</v>
      </c>
      <c r="ER716">
        <v>4124.9399999999996</v>
      </c>
      <c r="ES716">
        <v>0.94</v>
      </c>
      <c r="ET716">
        <v>912.11</v>
      </c>
      <c r="EU716">
        <v>578.34</v>
      </c>
      <c r="EV716">
        <v>3211.89</v>
      </c>
      <c r="EW716">
        <v>6</v>
      </c>
      <c r="EX716">
        <v>0</v>
      </c>
      <c r="EY716">
        <v>0</v>
      </c>
      <c r="FQ716">
        <v>0</v>
      </c>
      <c r="FR716">
        <f t="shared" si="563"/>
        <v>0</v>
      </c>
      <c r="FS716">
        <v>0</v>
      </c>
      <c r="FX716">
        <v>70</v>
      </c>
      <c r="FY716">
        <v>10</v>
      </c>
      <c r="GA716" t="s">
        <v>3</v>
      </c>
      <c r="GD716">
        <v>0</v>
      </c>
      <c r="GF716">
        <v>-121747724</v>
      </c>
      <c r="GG716">
        <v>2</v>
      </c>
      <c r="GH716">
        <v>1</v>
      </c>
      <c r="GI716">
        <v>-2</v>
      </c>
      <c r="GJ716">
        <v>0</v>
      </c>
      <c r="GK716">
        <f>ROUND(R716*(R12)/100,2)</f>
        <v>499.68</v>
      </c>
      <c r="GL716">
        <f t="shared" si="564"/>
        <v>0</v>
      </c>
      <c r="GM716">
        <f t="shared" si="565"/>
        <v>5855.24</v>
      </c>
      <c r="GN716">
        <f t="shared" si="566"/>
        <v>0</v>
      </c>
      <c r="GO716">
        <f t="shared" si="567"/>
        <v>0</v>
      </c>
      <c r="GP716">
        <f t="shared" si="568"/>
        <v>5855.24</v>
      </c>
      <c r="GR716">
        <v>0</v>
      </c>
      <c r="GS716">
        <v>3</v>
      </c>
      <c r="GT716">
        <v>0</v>
      </c>
      <c r="GU716" t="s">
        <v>3</v>
      </c>
      <c r="GV716">
        <f t="shared" si="569"/>
        <v>0</v>
      </c>
      <c r="GW716">
        <v>1</v>
      </c>
      <c r="GX716">
        <f t="shared" si="570"/>
        <v>0</v>
      </c>
      <c r="HA716">
        <v>0</v>
      </c>
      <c r="HB716">
        <v>0</v>
      </c>
      <c r="HC716">
        <f t="shared" si="571"/>
        <v>0</v>
      </c>
      <c r="HE716" t="s">
        <v>3</v>
      </c>
      <c r="HF716" t="s">
        <v>3</v>
      </c>
      <c r="HM716" t="s">
        <v>3</v>
      </c>
      <c r="HN716" t="s">
        <v>3</v>
      </c>
      <c r="HO716" t="s">
        <v>3</v>
      </c>
      <c r="HP716" t="s">
        <v>3</v>
      </c>
      <c r="HQ716" t="s">
        <v>3</v>
      </c>
      <c r="IK716">
        <v>0</v>
      </c>
    </row>
    <row r="717" spans="1:245" x14ac:dyDescent="0.2">
      <c r="A717">
        <v>17</v>
      </c>
      <c r="B717">
        <v>1</v>
      </c>
      <c r="D717">
        <f>ROW(EtalonRes!A455)</f>
        <v>455</v>
      </c>
      <c r="E717" t="s">
        <v>3</v>
      </c>
      <c r="F717" t="s">
        <v>225</v>
      </c>
      <c r="G717" t="s">
        <v>226</v>
      </c>
      <c r="H717" t="s">
        <v>18</v>
      </c>
      <c r="I717">
        <f>ROUND((14*5)/10,9)</f>
        <v>7</v>
      </c>
      <c r="J717">
        <v>0</v>
      </c>
      <c r="K717">
        <f>ROUND((14*5)/10,9)</f>
        <v>7</v>
      </c>
      <c r="O717">
        <f t="shared" si="539"/>
        <v>1773.1</v>
      </c>
      <c r="P717">
        <f t="shared" si="540"/>
        <v>44.1</v>
      </c>
      <c r="Q717">
        <f t="shared" si="541"/>
        <v>0</v>
      </c>
      <c r="R717">
        <f t="shared" si="542"/>
        <v>0</v>
      </c>
      <c r="S717">
        <f t="shared" si="543"/>
        <v>1729</v>
      </c>
      <c r="T717">
        <f t="shared" si="544"/>
        <v>0</v>
      </c>
      <c r="U717">
        <f t="shared" si="545"/>
        <v>2.8000000000000003</v>
      </c>
      <c r="V717">
        <f t="shared" si="546"/>
        <v>0</v>
      </c>
      <c r="W717">
        <f t="shared" si="547"/>
        <v>0</v>
      </c>
      <c r="X717">
        <f t="shared" si="548"/>
        <v>1210.3</v>
      </c>
      <c r="Y717">
        <f t="shared" si="549"/>
        <v>172.9</v>
      </c>
      <c r="AA717">
        <v>-1</v>
      </c>
      <c r="AB717">
        <f t="shared" si="550"/>
        <v>253.3</v>
      </c>
      <c r="AC717">
        <f>ROUND((ES717),6)</f>
        <v>6.3</v>
      </c>
      <c r="AD717">
        <f>ROUND((((ET717)-(EU717))+AE717),6)</f>
        <v>0</v>
      </c>
      <c r="AE717">
        <f>ROUND((EU717),6)</f>
        <v>0</v>
      </c>
      <c r="AF717">
        <f>ROUND((EV717),6)</f>
        <v>247</v>
      </c>
      <c r="AG717">
        <f t="shared" si="551"/>
        <v>0</v>
      </c>
      <c r="AH717">
        <f>(EW717)</f>
        <v>0.4</v>
      </c>
      <c r="AI717">
        <f>(EX717)</f>
        <v>0</v>
      </c>
      <c r="AJ717">
        <f t="shared" si="552"/>
        <v>0</v>
      </c>
      <c r="AK717">
        <v>253.3</v>
      </c>
      <c r="AL717">
        <v>6.3</v>
      </c>
      <c r="AM717">
        <v>0</v>
      </c>
      <c r="AN717">
        <v>0</v>
      </c>
      <c r="AO717">
        <v>247</v>
      </c>
      <c r="AP717">
        <v>0</v>
      </c>
      <c r="AQ717">
        <v>0.4</v>
      </c>
      <c r="AR717">
        <v>0</v>
      </c>
      <c r="AS717">
        <v>0</v>
      </c>
      <c r="AT717">
        <v>70</v>
      </c>
      <c r="AU717">
        <v>10</v>
      </c>
      <c r="AV717">
        <v>1</v>
      </c>
      <c r="AW717">
        <v>1</v>
      </c>
      <c r="AZ717">
        <v>1</v>
      </c>
      <c r="BA717">
        <v>1</v>
      </c>
      <c r="BB717">
        <v>1</v>
      </c>
      <c r="BC717">
        <v>1</v>
      </c>
      <c r="BD717" t="s">
        <v>3</v>
      </c>
      <c r="BE717" t="s">
        <v>3</v>
      </c>
      <c r="BF717" t="s">
        <v>3</v>
      </c>
      <c r="BG717" t="s">
        <v>3</v>
      </c>
      <c r="BH717">
        <v>0</v>
      </c>
      <c r="BI717">
        <v>4</v>
      </c>
      <c r="BJ717" t="s">
        <v>227</v>
      </c>
      <c r="BM717">
        <v>0</v>
      </c>
      <c r="BN717">
        <v>0</v>
      </c>
      <c r="BO717" t="s">
        <v>3</v>
      </c>
      <c r="BP717">
        <v>0</v>
      </c>
      <c r="BQ717">
        <v>1</v>
      </c>
      <c r="BR717">
        <v>0</v>
      </c>
      <c r="BS717">
        <v>1</v>
      </c>
      <c r="BT717">
        <v>1</v>
      </c>
      <c r="BU717">
        <v>1</v>
      </c>
      <c r="BV717">
        <v>1</v>
      </c>
      <c r="BW717">
        <v>1</v>
      </c>
      <c r="BX717">
        <v>1</v>
      </c>
      <c r="BY717" t="s">
        <v>3</v>
      </c>
      <c r="BZ717">
        <v>70</v>
      </c>
      <c r="CA717">
        <v>10</v>
      </c>
      <c r="CB717" t="s">
        <v>3</v>
      </c>
      <c r="CE717">
        <v>0</v>
      </c>
      <c r="CF717">
        <v>0</v>
      </c>
      <c r="CG717">
        <v>0</v>
      </c>
      <c r="CM717">
        <v>0</v>
      </c>
      <c r="CN717" t="s">
        <v>3</v>
      </c>
      <c r="CO717">
        <v>0</v>
      </c>
      <c r="CP717">
        <f t="shared" si="553"/>
        <v>1773.1</v>
      </c>
      <c r="CQ717">
        <f t="shared" si="554"/>
        <v>6.3</v>
      </c>
      <c r="CR717">
        <f>((((ET717)*BB717-(EU717)*BS717)+AE717*BS717)*AV717)</f>
        <v>0</v>
      </c>
      <c r="CS717">
        <f t="shared" si="555"/>
        <v>0</v>
      </c>
      <c r="CT717">
        <f t="shared" si="556"/>
        <v>247</v>
      </c>
      <c r="CU717">
        <f t="shared" si="557"/>
        <v>0</v>
      </c>
      <c r="CV717">
        <f t="shared" si="558"/>
        <v>0.4</v>
      </c>
      <c r="CW717">
        <f t="shared" si="559"/>
        <v>0</v>
      </c>
      <c r="CX717">
        <f t="shared" si="560"/>
        <v>0</v>
      </c>
      <c r="CY717">
        <f t="shared" si="561"/>
        <v>1210.3</v>
      </c>
      <c r="CZ717">
        <f t="shared" si="562"/>
        <v>172.9</v>
      </c>
      <c r="DC717" t="s">
        <v>3</v>
      </c>
      <c r="DD717" t="s">
        <v>3</v>
      </c>
      <c r="DE717" t="s">
        <v>3</v>
      </c>
      <c r="DF717" t="s">
        <v>3</v>
      </c>
      <c r="DG717" t="s">
        <v>3</v>
      </c>
      <c r="DH717" t="s">
        <v>3</v>
      </c>
      <c r="DI717" t="s">
        <v>3</v>
      </c>
      <c r="DJ717" t="s">
        <v>3</v>
      </c>
      <c r="DK717" t="s">
        <v>3</v>
      </c>
      <c r="DL717" t="s">
        <v>3</v>
      </c>
      <c r="DM717" t="s">
        <v>3</v>
      </c>
      <c r="DN717">
        <v>0</v>
      </c>
      <c r="DO717">
        <v>0</v>
      </c>
      <c r="DP717">
        <v>1</v>
      </c>
      <c r="DQ717">
        <v>1</v>
      </c>
      <c r="DU717">
        <v>16987630</v>
      </c>
      <c r="DV717" t="s">
        <v>18</v>
      </c>
      <c r="DW717" t="s">
        <v>18</v>
      </c>
      <c r="DX717">
        <v>10</v>
      </c>
      <c r="DZ717" t="s">
        <v>3</v>
      </c>
      <c r="EA717" t="s">
        <v>3</v>
      </c>
      <c r="EB717" t="s">
        <v>3</v>
      </c>
      <c r="EC717" t="s">
        <v>3</v>
      </c>
      <c r="EE717">
        <v>1441815344</v>
      </c>
      <c r="EF717">
        <v>1</v>
      </c>
      <c r="EG717" t="s">
        <v>21</v>
      </c>
      <c r="EH717">
        <v>0</v>
      </c>
      <c r="EI717" t="s">
        <v>3</v>
      </c>
      <c r="EJ717">
        <v>4</v>
      </c>
      <c r="EK717">
        <v>0</v>
      </c>
      <c r="EL717" t="s">
        <v>22</v>
      </c>
      <c r="EM717" t="s">
        <v>23</v>
      </c>
      <c r="EO717" t="s">
        <v>3</v>
      </c>
      <c r="EQ717">
        <v>1024</v>
      </c>
      <c r="ER717">
        <v>253.3</v>
      </c>
      <c r="ES717">
        <v>6.3</v>
      </c>
      <c r="ET717">
        <v>0</v>
      </c>
      <c r="EU717">
        <v>0</v>
      </c>
      <c r="EV717">
        <v>247</v>
      </c>
      <c r="EW717">
        <v>0.4</v>
      </c>
      <c r="EX717">
        <v>0</v>
      </c>
      <c r="EY717">
        <v>0</v>
      </c>
      <c r="FQ717">
        <v>0</v>
      </c>
      <c r="FR717">
        <f t="shared" si="563"/>
        <v>0</v>
      </c>
      <c r="FS717">
        <v>0</v>
      </c>
      <c r="FX717">
        <v>70</v>
      </c>
      <c r="FY717">
        <v>10</v>
      </c>
      <c r="GA717" t="s">
        <v>3</v>
      </c>
      <c r="GD717">
        <v>0</v>
      </c>
      <c r="GF717">
        <v>526043079</v>
      </c>
      <c r="GG717">
        <v>2</v>
      </c>
      <c r="GH717">
        <v>1</v>
      </c>
      <c r="GI717">
        <v>-2</v>
      </c>
      <c r="GJ717">
        <v>0</v>
      </c>
      <c r="GK717">
        <f>ROUND(R717*(R12)/100,2)</f>
        <v>0</v>
      </c>
      <c r="GL717">
        <f t="shared" si="564"/>
        <v>0</v>
      </c>
      <c r="GM717">
        <f t="shared" si="565"/>
        <v>3156.3</v>
      </c>
      <c r="GN717">
        <f t="shared" si="566"/>
        <v>0</v>
      </c>
      <c r="GO717">
        <f t="shared" si="567"/>
        <v>0</v>
      </c>
      <c r="GP717">
        <f t="shared" si="568"/>
        <v>3156.3</v>
      </c>
      <c r="GR717">
        <v>0</v>
      </c>
      <c r="GS717">
        <v>3</v>
      </c>
      <c r="GT717">
        <v>0</v>
      </c>
      <c r="GU717" t="s">
        <v>3</v>
      </c>
      <c r="GV717">
        <f t="shared" si="569"/>
        <v>0</v>
      </c>
      <c r="GW717">
        <v>1</v>
      </c>
      <c r="GX717">
        <f t="shared" si="570"/>
        <v>0</v>
      </c>
      <c r="HA717">
        <v>0</v>
      </c>
      <c r="HB717">
        <v>0</v>
      </c>
      <c r="HC717">
        <f t="shared" si="571"/>
        <v>0</v>
      </c>
      <c r="HE717" t="s">
        <v>3</v>
      </c>
      <c r="HF717" t="s">
        <v>3</v>
      </c>
      <c r="HM717" t="s">
        <v>3</v>
      </c>
      <c r="HN717" t="s">
        <v>3</v>
      </c>
      <c r="HO717" t="s">
        <v>3</v>
      </c>
      <c r="HP717" t="s">
        <v>3</v>
      </c>
      <c r="HQ717" t="s">
        <v>3</v>
      </c>
      <c r="IK717">
        <v>0</v>
      </c>
    </row>
    <row r="718" spans="1:245" x14ac:dyDescent="0.2">
      <c r="A718">
        <v>17</v>
      </c>
      <c r="B718">
        <v>1</v>
      </c>
      <c r="D718">
        <f>ROW(EtalonRes!A457)</f>
        <v>457</v>
      </c>
      <c r="E718" t="s">
        <v>339</v>
      </c>
      <c r="F718" t="s">
        <v>229</v>
      </c>
      <c r="G718" t="s">
        <v>230</v>
      </c>
      <c r="H718" t="s">
        <v>18</v>
      </c>
      <c r="I718">
        <f>ROUND((14*5)/10,9)</f>
        <v>7</v>
      </c>
      <c r="J718">
        <v>0</v>
      </c>
      <c r="K718">
        <f>ROUND((14*5)/10,9)</f>
        <v>7</v>
      </c>
      <c r="O718">
        <f t="shared" si="539"/>
        <v>822.15</v>
      </c>
      <c r="P718">
        <f t="shared" si="540"/>
        <v>44.1</v>
      </c>
      <c r="Q718">
        <f t="shared" si="541"/>
        <v>0</v>
      </c>
      <c r="R718">
        <f t="shared" si="542"/>
        <v>0</v>
      </c>
      <c r="S718">
        <f t="shared" si="543"/>
        <v>778.05</v>
      </c>
      <c r="T718">
        <f t="shared" si="544"/>
        <v>0</v>
      </c>
      <c r="U718">
        <f t="shared" si="545"/>
        <v>1.26</v>
      </c>
      <c r="V718">
        <f t="shared" si="546"/>
        <v>0</v>
      </c>
      <c r="W718">
        <f t="shared" si="547"/>
        <v>0</v>
      </c>
      <c r="X718">
        <f t="shared" si="548"/>
        <v>544.64</v>
      </c>
      <c r="Y718">
        <f t="shared" si="549"/>
        <v>77.81</v>
      </c>
      <c r="AA718">
        <v>1471531721</v>
      </c>
      <c r="AB718">
        <f t="shared" si="550"/>
        <v>117.45</v>
      </c>
      <c r="AC718">
        <f>ROUND((ES718),6)</f>
        <v>6.3</v>
      </c>
      <c r="AD718">
        <f>ROUND((((ET718)-(EU718))+AE718),6)</f>
        <v>0</v>
      </c>
      <c r="AE718">
        <f>ROUND((EU718),6)</f>
        <v>0</v>
      </c>
      <c r="AF718">
        <f>ROUND((EV718),6)</f>
        <v>111.15</v>
      </c>
      <c r="AG718">
        <f t="shared" si="551"/>
        <v>0</v>
      </c>
      <c r="AH718">
        <f>(EW718)</f>
        <v>0.18</v>
      </c>
      <c r="AI718">
        <f>(EX718)</f>
        <v>0</v>
      </c>
      <c r="AJ718">
        <f t="shared" si="552"/>
        <v>0</v>
      </c>
      <c r="AK718">
        <v>117.45</v>
      </c>
      <c r="AL718">
        <v>6.3</v>
      </c>
      <c r="AM718">
        <v>0</v>
      </c>
      <c r="AN718">
        <v>0</v>
      </c>
      <c r="AO718">
        <v>111.15</v>
      </c>
      <c r="AP718">
        <v>0</v>
      </c>
      <c r="AQ718">
        <v>0.18</v>
      </c>
      <c r="AR718">
        <v>0</v>
      </c>
      <c r="AS718">
        <v>0</v>
      </c>
      <c r="AT718">
        <v>70</v>
      </c>
      <c r="AU718">
        <v>10</v>
      </c>
      <c r="AV718">
        <v>1</v>
      </c>
      <c r="AW718">
        <v>1</v>
      </c>
      <c r="AZ718">
        <v>1</v>
      </c>
      <c r="BA718">
        <v>1</v>
      </c>
      <c r="BB718">
        <v>1</v>
      </c>
      <c r="BC718">
        <v>1</v>
      </c>
      <c r="BD718" t="s">
        <v>3</v>
      </c>
      <c r="BE718" t="s">
        <v>3</v>
      </c>
      <c r="BF718" t="s">
        <v>3</v>
      </c>
      <c r="BG718" t="s">
        <v>3</v>
      </c>
      <c r="BH718">
        <v>0</v>
      </c>
      <c r="BI718">
        <v>4</v>
      </c>
      <c r="BJ718" t="s">
        <v>231</v>
      </c>
      <c r="BM718">
        <v>0</v>
      </c>
      <c r="BN718">
        <v>0</v>
      </c>
      <c r="BO718" t="s">
        <v>3</v>
      </c>
      <c r="BP718">
        <v>0</v>
      </c>
      <c r="BQ718">
        <v>1</v>
      </c>
      <c r="BR718">
        <v>0</v>
      </c>
      <c r="BS718">
        <v>1</v>
      </c>
      <c r="BT718">
        <v>1</v>
      </c>
      <c r="BU718">
        <v>1</v>
      </c>
      <c r="BV718">
        <v>1</v>
      </c>
      <c r="BW718">
        <v>1</v>
      </c>
      <c r="BX718">
        <v>1</v>
      </c>
      <c r="BY718" t="s">
        <v>3</v>
      </c>
      <c r="BZ718">
        <v>70</v>
      </c>
      <c r="CA718">
        <v>10</v>
      </c>
      <c r="CB718" t="s">
        <v>3</v>
      </c>
      <c r="CE718">
        <v>0</v>
      </c>
      <c r="CF718">
        <v>0</v>
      </c>
      <c r="CG718">
        <v>0</v>
      </c>
      <c r="CM718">
        <v>0</v>
      </c>
      <c r="CN718" t="s">
        <v>3</v>
      </c>
      <c r="CO718">
        <v>0</v>
      </c>
      <c r="CP718">
        <f t="shared" si="553"/>
        <v>822.15</v>
      </c>
      <c r="CQ718">
        <f t="shared" si="554"/>
        <v>6.3</v>
      </c>
      <c r="CR718">
        <f>((((ET718)*BB718-(EU718)*BS718)+AE718*BS718)*AV718)</f>
        <v>0</v>
      </c>
      <c r="CS718">
        <f t="shared" si="555"/>
        <v>0</v>
      </c>
      <c r="CT718">
        <f t="shared" si="556"/>
        <v>111.15</v>
      </c>
      <c r="CU718">
        <f t="shared" si="557"/>
        <v>0</v>
      </c>
      <c r="CV718">
        <f t="shared" si="558"/>
        <v>0.18</v>
      </c>
      <c r="CW718">
        <f t="shared" si="559"/>
        <v>0</v>
      </c>
      <c r="CX718">
        <f t="shared" si="560"/>
        <v>0</v>
      </c>
      <c r="CY718">
        <f t="shared" si="561"/>
        <v>544.63499999999999</v>
      </c>
      <c r="CZ718">
        <f t="shared" si="562"/>
        <v>77.805000000000007</v>
      </c>
      <c r="DC718" t="s">
        <v>3</v>
      </c>
      <c r="DD718" t="s">
        <v>3</v>
      </c>
      <c r="DE718" t="s">
        <v>3</v>
      </c>
      <c r="DF718" t="s">
        <v>3</v>
      </c>
      <c r="DG718" t="s">
        <v>3</v>
      </c>
      <c r="DH718" t="s">
        <v>3</v>
      </c>
      <c r="DI718" t="s">
        <v>3</v>
      </c>
      <c r="DJ718" t="s">
        <v>3</v>
      </c>
      <c r="DK718" t="s">
        <v>3</v>
      </c>
      <c r="DL718" t="s">
        <v>3</v>
      </c>
      <c r="DM718" t="s">
        <v>3</v>
      </c>
      <c r="DN718">
        <v>0</v>
      </c>
      <c r="DO718">
        <v>0</v>
      </c>
      <c r="DP718">
        <v>1</v>
      </c>
      <c r="DQ718">
        <v>1</v>
      </c>
      <c r="DU718">
        <v>16987630</v>
      </c>
      <c r="DV718" t="s">
        <v>18</v>
      </c>
      <c r="DW718" t="s">
        <v>18</v>
      </c>
      <c r="DX718">
        <v>10</v>
      </c>
      <c r="DZ718" t="s">
        <v>3</v>
      </c>
      <c r="EA718" t="s">
        <v>3</v>
      </c>
      <c r="EB718" t="s">
        <v>3</v>
      </c>
      <c r="EC718" t="s">
        <v>3</v>
      </c>
      <c r="EE718">
        <v>1441815344</v>
      </c>
      <c r="EF718">
        <v>1</v>
      </c>
      <c r="EG718" t="s">
        <v>21</v>
      </c>
      <c r="EH718">
        <v>0</v>
      </c>
      <c r="EI718" t="s">
        <v>3</v>
      </c>
      <c r="EJ718">
        <v>4</v>
      </c>
      <c r="EK718">
        <v>0</v>
      </c>
      <c r="EL718" t="s">
        <v>22</v>
      </c>
      <c r="EM718" t="s">
        <v>23</v>
      </c>
      <c r="EO718" t="s">
        <v>3</v>
      </c>
      <c r="EQ718">
        <v>0</v>
      </c>
      <c r="ER718">
        <v>117.45</v>
      </c>
      <c r="ES718">
        <v>6.3</v>
      </c>
      <c r="ET718">
        <v>0</v>
      </c>
      <c r="EU718">
        <v>0</v>
      </c>
      <c r="EV718">
        <v>111.15</v>
      </c>
      <c r="EW718">
        <v>0.18</v>
      </c>
      <c r="EX718">
        <v>0</v>
      </c>
      <c r="EY718">
        <v>0</v>
      </c>
      <c r="FQ718">
        <v>0</v>
      </c>
      <c r="FR718">
        <f t="shared" si="563"/>
        <v>0</v>
      </c>
      <c r="FS718">
        <v>0</v>
      </c>
      <c r="FX718">
        <v>70</v>
      </c>
      <c r="FY718">
        <v>10</v>
      </c>
      <c r="GA718" t="s">
        <v>3</v>
      </c>
      <c r="GD718">
        <v>0</v>
      </c>
      <c r="GF718">
        <v>1310870617</v>
      </c>
      <c r="GG718">
        <v>2</v>
      </c>
      <c r="GH718">
        <v>1</v>
      </c>
      <c r="GI718">
        <v>-2</v>
      </c>
      <c r="GJ718">
        <v>0</v>
      </c>
      <c r="GK718">
        <f>ROUND(R718*(R12)/100,2)</f>
        <v>0</v>
      </c>
      <c r="GL718">
        <f t="shared" si="564"/>
        <v>0</v>
      </c>
      <c r="GM718">
        <f t="shared" si="565"/>
        <v>1444.6</v>
      </c>
      <c r="GN718">
        <f t="shared" si="566"/>
        <v>0</v>
      </c>
      <c r="GO718">
        <f t="shared" si="567"/>
        <v>0</v>
      </c>
      <c r="GP718">
        <f t="shared" si="568"/>
        <v>1444.6</v>
      </c>
      <c r="GR718">
        <v>0</v>
      </c>
      <c r="GS718">
        <v>3</v>
      </c>
      <c r="GT718">
        <v>0</v>
      </c>
      <c r="GU718" t="s">
        <v>3</v>
      </c>
      <c r="GV718">
        <f t="shared" si="569"/>
        <v>0</v>
      </c>
      <c r="GW718">
        <v>1</v>
      </c>
      <c r="GX718">
        <f t="shared" si="570"/>
        <v>0</v>
      </c>
      <c r="HA718">
        <v>0</v>
      </c>
      <c r="HB718">
        <v>0</v>
      </c>
      <c r="HC718">
        <f t="shared" si="571"/>
        <v>0</v>
      </c>
      <c r="HE718" t="s">
        <v>3</v>
      </c>
      <c r="HF718" t="s">
        <v>3</v>
      </c>
      <c r="HM718" t="s">
        <v>3</v>
      </c>
      <c r="HN718" t="s">
        <v>3</v>
      </c>
      <c r="HO718" t="s">
        <v>3</v>
      </c>
      <c r="HP718" t="s">
        <v>3</v>
      </c>
      <c r="HQ718" t="s">
        <v>3</v>
      </c>
      <c r="IK718">
        <v>0</v>
      </c>
    </row>
    <row r="719" spans="1:245" x14ac:dyDescent="0.2">
      <c r="A719">
        <v>17</v>
      </c>
      <c r="B719">
        <v>1</v>
      </c>
      <c r="D719">
        <f>ROW(EtalonRes!A458)</f>
        <v>458</v>
      </c>
      <c r="E719" t="s">
        <v>3</v>
      </c>
      <c r="F719" t="s">
        <v>232</v>
      </c>
      <c r="G719" t="s">
        <v>233</v>
      </c>
      <c r="H719" t="s">
        <v>31</v>
      </c>
      <c r="I719">
        <f>ROUND((14*5)/100,9)</f>
        <v>0.7</v>
      </c>
      <c r="J719">
        <v>0</v>
      </c>
      <c r="K719">
        <f>ROUND((14*5)/100,9)</f>
        <v>0.7</v>
      </c>
      <c r="O719">
        <f t="shared" si="539"/>
        <v>255.44</v>
      </c>
      <c r="P719">
        <f t="shared" si="540"/>
        <v>0</v>
      </c>
      <c r="Q719">
        <f t="shared" si="541"/>
        <v>0</v>
      </c>
      <c r="R719">
        <f t="shared" si="542"/>
        <v>0</v>
      </c>
      <c r="S719">
        <f t="shared" si="543"/>
        <v>255.44</v>
      </c>
      <c r="T719">
        <f t="shared" si="544"/>
        <v>0</v>
      </c>
      <c r="U719">
        <f t="shared" si="545"/>
        <v>0.504</v>
      </c>
      <c r="V719">
        <f t="shared" si="546"/>
        <v>0</v>
      </c>
      <c r="W719">
        <f t="shared" si="547"/>
        <v>0</v>
      </c>
      <c r="X719">
        <f t="shared" si="548"/>
        <v>178.81</v>
      </c>
      <c r="Y719">
        <f t="shared" si="549"/>
        <v>25.54</v>
      </c>
      <c r="AA719">
        <v>-1</v>
      </c>
      <c r="AB719">
        <f t="shared" si="550"/>
        <v>364.92</v>
      </c>
      <c r="AC719">
        <f>ROUND(((ES719*3)),6)</f>
        <v>0</v>
      </c>
      <c r="AD719">
        <f>ROUND(((((ET719*3))-((EU719*3)))+AE719),6)</f>
        <v>0</v>
      </c>
      <c r="AE719">
        <f>ROUND(((EU719*3)),6)</f>
        <v>0</v>
      </c>
      <c r="AF719">
        <f>ROUND(((EV719*3)),6)</f>
        <v>364.92</v>
      </c>
      <c r="AG719">
        <f t="shared" si="551"/>
        <v>0</v>
      </c>
      <c r="AH719">
        <f>((EW719*3))</f>
        <v>0.72</v>
      </c>
      <c r="AI719">
        <f>((EX719*3))</f>
        <v>0</v>
      </c>
      <c r="AJ719">
        <f t="shared" si="552"/>
        <v>0</v>
      </c>
      <c r="AK719">
        <v>121.64</v>
      </c>
      <c r="AL719">
        <v>0</v>
      </c>
      <c r="AM719">
        <v>0</v>
      </c>
      <c r="AN719">
        <v>0</v>
      </c>
      <c r="AO719">
        <v>121.64</v>
      </c>
      <c r="AP719">
        <v>0</v>
      </c>
      <c r="AQ719">
        <v>0.24</v>
      </c>
      <c r="AR719">
        <v>0</v>
      </c>
      <c r="AS719">
        <v>0</v>
      </c>
      <c r="AT719">
        <v>70</v>
      </c>
      <c r="AU719">
        <v>10</v>
      </c>
      <c r="AV719">
        <v>1</v>
      </c>
      <c r="AW719">
        <v>1</v>
      </c>
      <c r="AZ719">
        <v>1</v>
      </c>
      <c r="BA719">
        <v>1</v>
      </c>
      <c r="BB719">
        <v>1</v>
      </c>
      <c r="BC719">
        <v>1</v>
      </c>
      <c r="BD719" t="s">
        <v>3</v>
      </c>
      <c r="BE719" t="s">
        <v>3</v>
      </c>
      <c r="BF719" t="s">
        <v>3</v>
      </c>
      <c r="BG719" t="s">
        <v>3</v>
      </c>
      <c r="BH719">
        <v>0</v>
      </c>
      <c r="BI719">
        <v>4</v>
      </c>
      <c r="BJ719" t="s">
        <v>234</v>
      </c>
      <c r="BM719">
        <v>0</v>
      </c>
      <c r="BN719">
        <v>0</v>
      </c>
      <c r="BO719" t="s">
        <v>3</v>
      </c>
      <c r="BP719">
        <v>0</v>
      </c>
      <c r="BQ719">
        <v>1</v>
      </c>
      <c r="BR719">
        <v>0</v>
      </c>
      <c r="BS719">
        <v>1</v>
      </c>
      <c r="BT719">
        <v>1</v>
      </c>
      <c r="BU719">
        <v>1</v>
      </c>
      <c r="BV719">
        <v>1</v>
      </c>
      <c r="BW719">
        <v>1</v>
      </c>
      <c r="BX719">
        <v>1</v>
      </c>
      <c r="BY719" t="s">
        <v>3</v>
      </c>
      <c r="BZ719">
        <v>70</v>
      </c>
      <c r="CA719">
        <v>10</v>
      </c>
      <c r="CB719" t="s">
        <v>3</v>
      </c>
      <c r="CE719">
        <v>0</v>
      </c>
      <c r="CF719">
        <v>0</v>
      </c>
      <c r="CG719">
        <v>0</v>
      </c>
      <c r="CM719">
        <v>0</v>
      </c>
      <c r="CN719" t="s">
        <v>3</v>
      </c>
      <c r="CO719">
        <v>0</v>
      </c>
      <c r="CP719">
        <f t="shared" si="553"/>
        <v>255.44</v>
      </c>
      <c r="CQ719">
        <f t="shared" si="554"/>
        <v>0</v>
      </c>
      <c r="CR719">
        <f>(((((ET719*3))*BB719-((EU719*3))*BS719)+AE719*BS719)*AV719)</f>
        <v>0</v>
      </c>
      <c r="CS719">
        <f t="shared" si="555"/>
        <v>0</v>
      </c>
      <c r="CT719">
        <f t="shared" si="556"/>
        <v>364.92</v>
      </c>
      <c r="CU719">
        <f t="shared" si="557"/>
        <v>0</v>
      </c>
      <c r="CV719">
        <f t="shared" si="558"/>
        <v>0.72</v>
      </c>
      <c r="CW719">
        <f t="shared" si="559"/>
        <v>0</v>
      </c>
      <c r="CX719">
        <f t="shared" si="560"/>
        <v>0</v>
      </c>
      <c r="CY719">
        <f t="shared" si="561"/>
        <v>178.80799999999999</v>
      </c>
      <c r="CZ719">
        <f t="shared" si="562"/>
        <v>25.544</v>
      </c>
      <c r="DC719" t="s">
        <v>3</v>
      </c>
      <c r="DD719" t="s">
        <v>156</v>
      </c>
      <c r="DE719" t="s">
        <v>156</v>
      </c>
      <c r="DF719" t="s">
        <v>156</v>
      </c>
      <c r="DG719" t="s">
        <v>156</v>
      </c>
      <c r="DH719" t="s">
        <v>3</v>
      </c>
      <c r="DI719" t="s">
        <v>156</v>
      </c>
      <c r="DJ719" t="s">
        <v>156</v>
      </c>
      <c r="DK719" t="s">
        <v>3</v>
      </c>
      <c r="DL719" t="s">
        <v>3</v>
      </c>
      <c r="DM719" t="s">
        <v>3</v>
      </c>
      <c r="DN719">
        <v>0</v>
      </c>
      <c r="DO719">
        <v>0</v>
      </c>
      <c r="DP719">
        <v>1</v>
      </c>
      <c r="DQ719">
        <v>1</v>
      </c>
      <c r="DU719">
        <v>16987630</v>
      </c>
      <c r="DV719" t="s">
        <v>31</v>
      </c>
      <c r="DW719" t="s">
        <v>31</v>
      </c>
      <c r="DX719">
        <v>100</v>
      </c>
      <c r="DZ719" t="s">
        <v>3</v>
      </c>
      <c r="EA719" t="s">
        <v>3</v>
      </c>
      <c r="EB719" t="s">
        <v>3</v>
      </c>
      <c r="EC719" t="s">
        <v>3</v>
      </c>
      <c r="EE719">
        <v>1441815344</v>
      </c>
      <c r="EF719">
        <v>1</v>
      </c>
      <c r="EG719" t="s">
        <v>21</v>
      </c>
      <c r="EH719">
        <v>0</v>
      </c>
      <c r="EI719" t="s">
        <v>3</v>
      </c>
      <c r="EJ719">
        <v>4</v>
      </c>
      <c r="EK719">
        <v>0</v>
      </c>
      <c r="EL719" t="s">
        <v>22</v>
      </c>
      <c r="EM719" t="s">
        <v>23</v>
      </c>
      <c r="EO719" t="s">
        <v>3</v>
      </c>
      <c r="EQ719">
        <v>1024</v>
      </c>
      <c r="ER719">
        <v>121.64</v>
      </c>
      <c r="ES719">
        <v>0</v>
      </c>
      <c r="ET719">
        <v>0</v>
      </c>
      <c r="EU719">
        <v>0</v>
      </c>
      <c r="EV719">
        <v>121.64</v>
      </c>
      <c r="EW719">
        <v>0.24</v>
      </c>
      <c r="EX719">
        <v>0</v>
      </c>
      <c r="EY719">
        <v>0</v>
      </c>
      <c r="FQ719">
        <v>0</v>
      </c>
      <c r="FR719">
        <f t="shared" si="563"/>
        <v>0</v>
      </c>
      <c r="FS719">
        <v>0</v>
      </c>
      <c r="FX719">
        <v>70</v>
      </c>
      <c r="FY719">
        <v>10</v>
      </c>
      <c r="GA719" t="s">
        <v>3</v>
      </c>
      <c r="GD719">
        <v>0</v>
      </c>
      <c r="GF719">
        <v>1019270866</v>
      </c>
      <c r="GG719">
        <v>2</v>
      </c>
      <c r="GH719">
        <v>1</v>
      </c>
      <c r="GI719">
        <v>-2</v>
      </c>
      <c r="GJ719">
        <v>0</v>
      </c>
      <c r="GK719">
        <f>ROUND(R719*(R12)/100,2)</f>
        <v>0</v>
      </c>
      <c r="GL719">
        <f t="shared" si="564"/>
        <v>0</v>
      </c>
      <c r="GM719">
        <f t="shared" si="565"/>
        <v>459.79</v>
      </c>
      <c r="GN719">
        <f t="shared" si="566"/>
        <v>0</v>
      </c>
      <c r="GO719">
        <f t="shared" si="567"/>
        <v>0</v>
      </c>
      <c r="GP719">
        <f t="shared" si="568"/>
        <v>459.79</v>
      </c>
      <c r="GR719">
        <v>0</v>
      </c>
      <c r="GS719">
        <v>3</v>
      </c>
      <c r="GT719">
        <v>0</v>
      </c>
      <c r="GU719" t="s">
        <v>3</v>
      </c>
      <c r="GV719">
        <f t="shared" si="569"/>
        <v>0</v>
      </c>
      <c r="GW719">
        <v>1</v>
      </c>
      <c r="GX719">
        <f t="shared" si="570"/>
        <v>0</v>
      </c>
      <c r="HA719">
        <v>0</v>
      </c>
      <c r="HB719">
        <v>0</v>
      </c>
      <c r="HC719">
        <f t="shared" si="571"/>
        <v>0</v>
      </c>
      <c r="HE719" t="s">
        <v>3</v>
      </c>
      <c r="HF719" t="s">
        <v>3</v>
      </c>
      <c r="HM719" t="s">
        <v>3</v>
      </c>
      <c r="HN719" t="s">
        <v>3</v>
      </c>
      <c r="HO719" t="s">
        <v>3</v>
      </c>
      <c r="HP719" t="s">
        <v>3</v>
      </c>
      <c r="HQ719" t="s">
        <v>3</v>
      </c>
      <c r="IK719">
        <v>0</v>
      </c>
    </row>
    <row r="720" spans="1:245" x14ac:dyDescent="0.2">
      <c r="A720">
        <v>17</v>
      </c>
      <c r="B720">
        <v>1</v>
      </c>
      <c r="D720">
        <f>ROW(EtalonRes!A460)</f>
        <v>460</v>
      </c>
      <c r="E720" t="s">
        <v>340</v>
      </c>
      <c r="F720" t="s">
        <v>236</v>
      </c>
      <c r="G720" t="s">
        <v>237</v>
      </c>
      <c r="H720" t="s">
        <v>60</v>
      </c>
      <c r="I720">
        <f>ROUND(ROUND((40*5)*0.2*0.1/100,9),9)</f>
        <v>0.04</v>
      </c>
      <c r="J720">
        <v>0</v>
      </c>
      <c r="K720">
        <f>ROUND(ROUND((40*5)*0.2*0.1/100,9),9)</f>
        <v>0.04</v>
      </c>
      <c r="O720">
        <f t="shared" si="539"/>
        <v>215.03</v>
      </c>
      <c r="P720">
        <f t="shared" si="540"/>
        <v>0.9</v>
      </c>
      <c r="Q720">
        <f t="shared" si="541"/>
        <v>0</v>
      </c>
      <c r="R720">
        <f t="shared" si="542"/>
        <v>0</v>
      </c>
      <c r="S720">
        <f t="shared" si="543"/>
        <v>214.13</v>
      </c>
      <c r="T720">
        <f t="shared" si="544"/>
        <v>0</v>
      </c>
      <c r="U720">
        <f t="shared" si="545"/>
        <v>0.4</v>
      </c>
      <c r="V720">
        <f t="shared" si="546"/>
        <v>0</v>
      </c>
      <c r="W720">
        <f t="shared" si="547"/>
        <v>0</v>
      </c>
      <c r="X720">
        <f t="shared" si="548"/>
        <v>149.88999999999999</v>
      </c>
      <c r="Y720">
        <f t="shared" si="549"/>
        <v>21.41</v>
      </c>
      <c r="AA720">
        <v>1471531721</v>
      </c>
      <c r="AB720">
        <f t="shared" si="550"/>
        <v>5375.66</v>
      </c>
      <c r="AC720">
        <f t="shared" ref="AC720:AC725" si="576">ROUND((ES720),6)</f>
        <v>22.51</v>
      </c>
      <c r="AD720">
        <f t="shared" ref="AD720:AD725" si="577">ROUND((((ET720)-(EU720))+AE720),6)</f>
        <v>0</v>
      </c>
      <c r="AE720">
        <f t="shared" ref="AE720:AF725" si="578">ROUND((EU720),6)</f>
        <v>0</v>
      </c>
      <c r="AF720">
        <f t="shared" si="578"/>
        <v>5353.15</v>
      </c>
      <c r="AG720">
        <f t="shared" si="551"/>
        <v>0</v>
      </c>
      <c r="AH720">
        <f t="shared" ref="AH720:AI725" si="579">(EW720)</f>
        <v>10</v>
      </c>
      <c r="AI720">
        <f t="shared" si="579"/>
        <v>0</v>
      </c>
      <c r="AJ720">
        <f t="shared" si="552"/>
        <v>0</v>
      </c>
      <c r="AK720">
        <v>5375.66</v>
      </c>
      <c r="AL720">
        <v>22.51</v>
      </c>
      <c r="AM720">
        <v>0</v>
      </c>
      <c r="AN720">
        <v>0</v>
      </c>
      <c r="AO720">
        <v>5353.15</v>
      </c>
      <c r="AP720">
        <v>0</v>
      </c>
      <c r="AQ720">
        <v>10</v>
      </c>
      <c r="AR720">
        <v>0</v>
      </c>
      <c r="AS720">
        <v>0</v>
      </c>
      <c r="AT720">
        <v>70</v>
      </c>
      <c r="AU720">
        <v>10</v>
      </c>
      <c r="AV720">
        <v>1</v>
      </c>
      <c r="AW720">
        <v>1</v>
      </c>
      <c r="AZ720">
        <v>1</v>
      </c>
      <c r="BA720">
        <v>1</v>
      </c>
      <c r="BB720">
        <v>1</v>
      </c>
      <c r="BC720">
        <v>1</v>
      </c>
      <c r="BD720" t="s">
        <v>3</v>
      </c>
      <c r="BE720" t="s">
        <v>3</v>
      </c>
      <c r="BF720" t="s">
        <v>3</v>
      </c>
      <c r="BG720" t="s">
        <v>3</v>
      </c>
      <c r="BH720">
        <v>0</v>
      </c>
      <c r="BI720">
        <v>4</v>
      </c>
      <c r="BJ720" t="s">
        <v>238</v>
      </c>
      <c r="BM720">
        <v>0</v>
      </c>
      <c r="BN720">
        <v>0</v>
      </c>
      <c r="BO720" t="s">
        <v>3</v>
      </c>
      <c r="BP720">
        <v>0</v>
      </c>
      <c r="BQ720">
        <v>1</v>
      </c>
      <c r="BR720">
        <v>0</v>
      </c>
      <c r="BS720">
        <v>1</v>
      </c>
      <c r="BT720">
        <v>1</v>
      </c>
      <c r="BU720">
        <v>1</v>
      </c>
      <c r="BV720">
        <v>1</v>
      </c>
      <c r="BW720">
        <v>1</v>
      </c>
      <c r="BX720">
        <v>1</v>
      </c>
      <c r="BY720" t="s">
        <v>3</v>
      </c>
      <c r="BZ720">
        <v>70</v>
      </c>
      <c r="CA720">
        <v>10</v>
      </c>
      <c r="CB720" t="s">
        <v>3</v>
      </c>
      <c r="CE720">
        <v>0</v>
      </c>
      <c r="CF720">
        <v>0</v>
      </c>
      <c r="CG720">
        <v>0</v>
      </c>
      <c r="CM720">
        <v>0</v>
      </c>
      <c r="CN720" t="s">
        <v>3</v>
      </c>
      <c r="CO720">
        <v>0</v>
      </c>
      <c r="CP720">
        <f t="shared" si="553"/>
        <v>215.03</v>
      </c>
      <c r="CQ720">
        <f t="shared" si="554"/>
        <v>22.51</v>
      </c>
      <c r="CR720">
        <f t="shared" ref="CR720:CR725" si="580">((((ET720)*BB720-(EU720)*BS720)+AE720*BS720)*AV720)</f>
        <v>0</v>
      </c>
      <c r="CS720">
        <f t="shared" si="555"/>
        <v>0</v>
      </c>
      <c r="CT720">
        <f t="shared" si="556"/>
        <v>5353.15</v>
      </c>
      <c r="CU720">
        <f t="shared" si="557"/>
        <v>0</v>
      </c>
      <c r="CV720">
        <f t="shared" si="558"/>
        <v>10</v>
      </c>
      <c r="CW720">
        <f t="shared" si="559"/>
        <v>0</v>
      </c>
      <c r="CX720">
        <f t="shared" si="560"/>
        <v>0</v>
      </c>
      <c r="CY720">
        <f t="shared" si="561"/>
        <v>149.89099999999999</v>
      </c>
      <c r="CZ720">
        <f t="shared" si="562"/>
        <v>21.413</v>
      </c>
      <c r="DC720" t="s">
        <v>3</v>
      </c>
      <c r="DD720" t="s">
        <v>3</v>
      </c>
      <c r="DE720" t="s">
        <v>3</v>
      </c>
      <c r="DF720" t="s">
        <v>3</v>
      </c>
      <c r="DG720" t="s">
        <v>3</v>
      </c>
      <c r="DH720" t="s">
        <v>3</v>
      </c>
      <c r="DI720" t="s">
        <v>3</v>
      </c>
      <c r="DJ720" t="s">
        <v>3</v>
      </c>
      <c r="DK720" t="s">
        <v>3</v>
      </c>
      <c r="DL720" t="s">
        <v>3</v>
      </c>
      <c r="DM720" t="s">
        <v>3</v>
      </c>
      <c r="DN720">
        <v>0</v>
      </c>
      <c r="DO720">
        <v>0</v>
      </c>
      <c r="DP720">
        <v>1</v>
      </c>
      <c r="DQ720">
        <v>1</v>
      </c>
      <c r="DU720">
        <v>1003</v>
      </c>
      <c r="DV720" t="s">
        <v>60</v>
      </c>
      <c r="DW720" t="s">
        <v>60</v>
      </c>
      <c r="DX720">
        <v>100</v>
      </c>
      <c r="DZ720" t="s">
        <v>3</v>
      </c>
      <c r="EA720" t="s">
        <v>3</v>
      </c>
      <c r="EB720" t="s">
        <v>3</v>
      </c>
      <c r="EC720" t="s">
        <v>3</v>
      </c>
      <c r="EE720">
        <v>1441815344</v>
      </c>
      <c r="EF720">
        <v>1</v>
      </c>
      <c r="EG720" t="s">
        <v>21</v>
      </c>
      <c r="EH720">
        <v>0</v>
      </c>
      <c r="EI720" t="s">
        <v>3</v>
      </c>
      <c r="EJ720">
        <v>4</v>
      </c>
      <c r="EK720">
        <v>0</v>
      </c>
      <c r="EL720" t="s">
        <v>22</v>
      </c>
      <c r="EM720" t="s">
        <v>23</v>
      </c>
      <c r="EO720" t="s">
        <v>3</v>
      </c>
      <c r="EQ720">
        <v>0</v>
      </c>
      <c r="ER720">
        <v>5375.66</v>
      </c>
      <c r="ES720">
        <v>22.51</v>
      </c>
      <c r="ET720">
        <v>0</v>
      </c>
      <c r="EU720">
        <v>0</v>
      </c>
      <c r="EV720">
        <v>5353.15</v>
      </c>
      <c r="EW720">
        <v>10</v>
      </c>
      <c r="EX720">
        <v>0</v>
      </c>
      <c r="EY720">
        <v>0</v>
      </c>
      <c r="FQ720">
        <v>0</v>
      </c>
      <c r="FR720">
        <f t="shared" si="563"/>
        <v>0</v>
      </c>
      <c r="FS720">
        <v>0</v>
      </c>
      <c r="FX720">
        <v>70</v>
      </c>
      <c r="FY720">
        <v>10</v>
      </c>
      <c r="GA720" t="s">
        <v>3</v>
      </c>
      <c r="GD720">
        <v>0</v>
      </c>
      <c r="GF720">
        <v>29112068</v>
      </c>
      <c r="GG720">
        <v>2</v>
      </c>
      <c r="GH720">
        <v>1</v>
      </c>
      <c r="GI720">
        <v>-2</v>
      </c>
      <c r="GJ720">
        <v>0</v>
      </c>
      <c r="GK720">
        <f>ROUND(R720*(R12)/100,2)</f>
        <v>0</v>
      </c>
      <c r="GL720">
        <f t="shared" si="564"/>
        <v>0</v>
      </c>
      <c r="GM720">
        <f t="shared" si="565"/>
        <v>386.33</v>
      </c>
      <c r="GN720">
        <f t="shared" si="566"/>
        <v>0</v>
      </c>
      <c r="GO720">
        <f t="shared" si="567"/>
        <v>0</v>
      </c>
      <c r="GP720">
        <f t="shared" si="568"/>
        <v>386.33</v>
      </c>
      <c r="GR720">
        <v>0</v>
      </c>
      <c r="GS720">
        <v>3</v>
      </c>
      <c r="GT720">
        <v>0</v>
      </c>
      <c r="GU720" t="s">
        <v>3</v>
      </c>
      <c r="GV720">
        <f t="shared" si="569"/>
        <v>0</v>
      </c>
      <c r="GW720">
        <v>1</v>
      </c>
      <c r="GX720">
        <f t="shared" si="570"/>
        <v>0</v>
      </c>
      <c r="HA720">
        <v>0</v>
      </c>
      <c r="HB720">
        <v>0</v>
      </c>
      <c r="HC720">
        <f t="shared" si="571"/>
        <v>0</v>
      </c>
      <c r="HE720" t="s">
        <v>3</v>
      </c>
      <c r="HF720" t="s">
        <v>3</v>
      </c>
      <c r="HM720" t="s">
        <v>3</v>
      </c>
      <c r="HN720" t="s">
        <v>3</v>
      </c>
      <c r="HO720" t="s">
        <v>3</v>
      </c>
      <c r="HP720" t="s">
        <v>3</v>
      </c>
      <c r="HQ720" t="s">
        <v>3</v>
      </c>
      <c r="IK720">
        <v>0</v>
      </c>
    </row>
    <row r="721" spans="1:245" x14ac:dyDescent="0.2">
      <c r="A721">
        <v>17</v>
      </c>
      <c r="B721">
        <v>1</v>
      </c>
      <c r="D721">
        <f>ROW(EtalonRes!A461)</f>
        <v>461</v>
      </c>
      <c r="E721" t="s">
        <v>3</v>
      </c>
      <c r="F721" t="s">
        <v>239</v>
      </c>
      <c r="G721" t="s">
        <v>240</v>
      </c>
      <c r="H721" t="s">
        <v>60</v>
      </c>
      <c r="I721">
        <f>ROUND(40*5*0.1/100,9)</f>
        <v>0.2</v>
      </c>
      <c r="J721">
        <v>0</v>
      </c>
      <c r="K721">
        <f>ROUND(40*5*0.1/100,9)</f>
        <v>0.2</v>
      </c>
      <c r="O721">
        <f t="shared" si="539"/>
        <v>35.33</v>
      </c>
      <c r="P721">
        <f t="shared" si="540"/>
        <v>0</v>
      </c>
      <c r="Q721">
        <f t="shared" si="541"/>
        <v>0</v>
      </c>
      <c r="R721">
        <f t="shared" si="542"/>
        <v>0</v>
      </c>
      <c r="S721">
        <f t="shared" si="543"/>
        <v>35.33</v>
      </c>
      <c r="T721">
        <f t="shared" si="544"/>
        <v>0</v>
      </c>
      <c r="U721">
        <f t="shared" si="545"/>
        <v>6.6000000000000003E-2</v>
      </c>
      <c r="V721">
        <f t="shared" si="546"/>
        <v>0</v>
      </c>
      <c r="W721">
        <f t="shared" si="547"/>
        <v>0</v>
      </c>
      <c r="X721">
        <f t="shared" si="548"/>
        <v>24.73</v>
      </c>
      <c r="Y721">
        <f t="shared" si="549"/>
        <v>3.53</v>
      </c>
      <c r="AA721">
        <v>-1</v>
      </c>
      <c r="AB721">
        <f t="shared" si="550"/>
        <v>176.66</v>
      </c>
      <c r="AC721">
        <f t="shared" si="576"/>
        <v>0</v>
      </c>
      <c r="AD721">
        <f t="shared" si="577"/>
        <v>0</v>
      </c>
      <c r="AE721">
        <f t="shared" si="578"/>
        <v>0</v>
      </c>
      <c r="AF721">
        <f t="shared" si="578"/>
        <v>176.66</v>
      </c>
      <c r="AG721">
        <f t="shared" si="551"/>
        <v>0</v>
      </c>
      <c r="AH721">
        <f t="shared" si="579"/>
        <v>0.33</v>
      </c>
      <c r="AI721">
        <f t="shared" si="579"/>
        <v>0</v>
      </c>
      <c r="AJ721">
        <f t="shared" si="552"/>
        <v>0</v>
      </c>
      <c r="AK721">
        <v>176.66</v>
      </c>
      <c r="AL721">
        <v>0</v>
      </c>
      <c r="AM721">
        <v>0</v>
      </c>
      <c r="AN721">
        <v>0</v>
      </c>
      <c r="AO721">
        <v>176.66</v>
      </c>
      <c r="AP721">
        <v>0</v>
      </c>
      <c r="AQ721">
        <v>0.33</v>
      </c>
      <c r="AR721">
        <v>0</v>
      </c>
      <c r="AS721">
        <v>0</v>
      </c>
      <c r="AT721">
        <v>70</v>
      </c>
      <c r="AU721">
        <v>10</v>
      </c>
      <c r="AV721">
        <v>1</v>
      </c>
      <c r="AW721">
        <v>1</v>
      </c>
      <c r="AZ721">
        <v>1</v>
      </c>
      <c r="BA721">
        <v>1</v>
      </c>
      <c r="BB721">
        <v>1</v>
      </c>
      <c r="BC721">
        <v>1</v>
      </c>
      <c r="BD721" t="s">
        <v>3</v>
      </c>
      <c r="BE721" t="s">
        <v>3</v>
      </c>
      <c r="BF721" t="s">
        <v>3</v>
      </c>
      <c r="BG721" t="s">
        <v>3</v>
      </c>
      <c r="BH721">
        <v>0</v>
      </c>
      <c r="BI721">
        <v>4</v>
      </c>
      <c r="BJ721" t="s">
        <v>241</v>
      </c>
      <c r="BM721">
        <v>0</v>
      </c>
      <c r="BN721">
        <v>0</v>
      </c>
      <c r="BO721" t="s">
        <v>3</v>
      </c>
      <c r="BP721">
        <v>0</v>
      </c>
      <c r="BQ721">
        <v>1</v>
      </c>
      <c r="BR721">
        <v>0</v>
      </c>
      <c r="BS721">
        <v>1</v>
      </c>
      <c r="BT721">
        <v>1</v>
      </c>
      <c r="BU721">
        <v>1</v>
      </c>
      <c r="BV721">
        <v>1</v>
      </c>
      <c r="BW721">
        <v>1</v>
      </c>
      <c r="BX721">
        <v>1</v>
      </c>
      <c r="BY721" t="s">
        <v>3</v>
      </c>
      <c r="BZ721">
        <v>70</v>
      </c>
      <c r="CA721">
        <v>10</v>
      </c>
      <c r="CB721" t="s">
        <v>3</v>
      </c>
      <c r="CE721">
        <v>0</v>
      </c>
      <c r="CF721">
        <v>0</v>
      </c>
      <c r="CG721">
        <v>0</v>
      </c>
      <c r="CM721">
        <v>0</v>
      </c>
      <c r="CN721" t="s">
        <v>3</v>
      </c>
      <c r="CO721">
        <v>0</v>
      </c>
      <c r="CP721">
        <f t="shared" si="553"/>
        <v>35.33</v>
      </c>
      <c r="CQ721">
        <f t="shared" si="554"/>
        <v>0</v>
      </c>
      <c r="CR721">
        <f t="shared" si="580"/>
        <v>0</v>
      </c>
      <c r="CS721">
        <f t="shared" si="555"/>
        <v>0</v>
      </c>
      <c r="CT721">
        <f t="shared" si="556"/>
        <v>176.66</v>
      </c>
      <c r="CU721">
        <f t="shared" si="557"/>
        <v>0</v>
      </c>
      <c r="CV721">
        <f t="shared" si="558"/>
        <v>0.33</v>
      </c>
      <c r="CW721">
        <f t="shared" si="559"/>
        <v>0</v>
      </c>
      <c r="CX721">
        <f t="shared" si="560"/>
        <v>0</v>
      </c>
      <c r="CY721">
        <f t="shared" si="561"/>
        <v>24.730999999999998</v>
      </c>
      <c r="CZ721">
        <f t="shared" si="562"/>
        <v>3.5329999999999995</v>
      </c>
      <c r="DC721" t="s">
        <v>3</v>
      </c>
      <c r="DD721" t="s">
        <v>3</v>
      </c>
      <c r="DE721" t="s">
        <v>3</v>
      </c>
      <c r="DF721" t="s">
        <v>3</v>
      </c>
      <c r="DG721" t="s">
        <v>3</v>
      </c>
      <c r="DH721" t="s">
        <v>3</v>
      </c>
      <c r="DI721" t="s">
        <v>3</v>
      </c>
      <c r="DJ721" t="s">
        <v>3</v>
      </c>
      <c r="DK721" t="s">
        <v>3</v>
      </c>
      <c r="DL721" t="s">
        <v>3</v>
      </c>
      <c r="DM721" t="s">
        <v>3</v>
      </c>
      <c r="DN721">
        <v>0</v>
      </c>
      <c r="DO721">
        <v>0</v>
      </c>
      <c r="DP721">
        <v>1</v>
      </c>
      <c r="DQ721">
        <v>1</v>
      </c>
      <c r="DU721">
        <v>1003</v>
      </c>
      <c r="DV721" t="s">
        <v>60</v>
      </c>
      <c r="DW721" t="s">
        <v>60</v>
      </c>
      <c r="DX721">
        <v>100</v>
      </c>
      <c r="DZ721" t="s">
        <v>3</v>
      </c>
      <c r="EA721" t="s">
        <v>3</v>
      </c>
      <c r="EB721" t="s">
        <v>3</v>
      </c>
      <c r="EC721" t="s">
        <v>3</v>
      </c>
      <c r="EE721">
        <v>1441815344</v>
      </c>
      <c r="EF721">
        <v>1</v>
      </c>
      <c r="EG721" t="s">
        <v>21</v>
      </c>
      <c r="EH721">
        <v>0</v>
      </c>
      <c r="EI721" t="s">
        <v>3</v>
      </c>
      <c r="EJ721">
        <v>4</v>
      </c>
      <c r="EK721">
        <v>0</v>
      </c>
      <c r="EL721" t="s">
        <v>22</v>
      </c>
      <c r="EM721" t="s">
        <v>23</v>
      </c>
      <c r="EO721" t="s">
        <v>3</v>
      </c>
      <c r="EQ721">
        <v>1024</v>
      </c>
      <c r="ER721">
        <v>176.66</v>
      </c>
      <c r="ES721">
        <v>0</v>
      </c>
      <c r="ET721">
        <v>0</v>
      </c>
      <c r="EU721">
        <v>0</v>
      </c>
      <c r="EV721">
        <v>176.66</v>
      </c>
      <c r="EW721">
        <v>0.33</v>
      </c>
      <c r="EX721">
        <v>0</v>
      </c>
      <c r="EY721">
        <v>0</v>
      </c>
      <c r="FQ721">
        <v>0</v>
      </c>
      <c r="FR721">
        <f t="shared" si="563"/>
        <v>0</v>
      </c>
      <c r="FS721">
        <v>0</v>
      </c>
      <c r="FX721">
        <v>70</v>
      </c>
      <c r="FY721">
        <v>10</v>
      </c>
      <c r="GA721" t="s">
        <v>3</v>
      </c>
      <c r="GD721">
        <v>0</v>
      </c>
      <c r="GF721">
        <v>-21109996</v>
      </c>
      <c r="GG721">
        <v>2</v>
      </c>
      <c r="GH721">
        <v>1</v>
      </c>
      <c r="GI721">
        <v>-2</v>
      </c>
      <c r="GJ721">
        <v>0</v>
      </c>
      <c r="GK721">
        <f>ROUND(R721*(R12)/100,2)</f>
        <v>0</v>
      </c>
      <c r="GL721">
        <f t="shared" si="564"/>
        <v>0</v>
      </c>
      <c r="GM721">
        <f t="shared" si="565"/>
        <v>63.59</v>
      </c>
      <c r="GN721">
        <f t="shared" si="566"/>
        <v>0</v>
      </c>
      <c r="GO721">
        <f t="shared" si="567"/>
        <v>0</v>
      </c>
      <c r="GP721">
        <f t="shared" si="568"/>
        <v>63.59</v>
      </c>
      <c r="GR721">
        <v>0</v>
      </c>
      <c r="GS721">
        <v>3</v>
      </c>
      <c r="GT721">
        <v>0</v>
      </c>
      <c r="GU721" t="s">
        <v>3</v>
      </c>
      <c r="GV721">
        <f t="shared" si="569"/>
        <v>0</v>
      </c>
      <c r="GW721">
        <v>1</v>
      </c>
      <c r="GX721">
        <f t="shared" si="570"/>
        <v>0</v>
      </c>
      <c r="HA721">
        <v>0</v>
      </c>
      <c r="HB721">
        <v>0</v>
      </c>
      <c r="HC721">
        <f t="shared" si="571"/>
        <v>0</v>
      </c>
      <c r="HE721" t="s">
        <v>3</v>
      </c>
      <c r="HF721" t="s">
        <v>3</v>
      </c>
      <c r="HM721" t="s">
        <v>3</v>
      </c>
      <c r="HN721" t="s">
        <v>3</v>
      </c>
      <c r="HO721" t="s">
        <v>3</v>
      </c>
      <c r="HP721" t="s">
        <v>3</v>
      </c>
      <c r="HQ721" t="s">
        <v>3</v>
      </c>
      <c r="IK721">
        <v>0</v>
      </c>
    </row>
    <row r="722" spans="1:245" x14ac:dyDescent="0.2">
      <c r="A722">
        <v>17</v>
      </c>
      <c r="B722">
        <v>1</v>
      </c>
      <c r="D722">
        <f>ROW(EtalonRes!A463)</f>
        <v>463</v>
      </c>
      <c r="E722" t="s">
        <v>341</v>
      </c>
      <c r="F722" t="s">
        <v>236</v>
      </c>
      <c r="G722" t="s">
        <v>243</v>
      </c>
      <c r="H722" t="s">
        <v>60</v>
      </c>
      <c r="I722">
        <f>ROUND(ROUND((50*5)*0.2*0.1/100,9),9)</f>
        <v>0.05</v>
      </c>
      <c r="J722">
        <v>0</v>
      </c>
      <c r="K722">
        <f>ROUND(ROUND((50*5)*0.2*0.1/100,9),9)</f>
        <v>0.05</v>
      </c>
      <c r="O722">
        <f t="shared" si="539"/>
        <v>268.79000000000002</v>
      </c>
      <c r="P722">
        <f t="shared" si="540"/>
        <v>1.1299999999999999</v>
      </c>
      <c r="Q722">
        <f t="shared" si="541"/>
        <v>0</v>
      </c>
      <c r="R722">
        <f t="shared" si="542"/>
        <v>0</v>
      </c>
      <c r="S722">
        <f t="shared" si="543"/>
        <v>267.66000000000003</v>
      </c>
      <c r="T722">
        <f t="shared" si="544"/>
        <v>0</v>
      </c>
      <c r="U722">
        <f t="shared" si="545"/>
        <v>0.5</v>
      </c>
      <c r="V722">
        <f t="shared" si="546"/>
        <v>0</v>
      </c>
      <c r="W722">
        <f t="shared" si="547"/>
        <v>0</v>
      </c>
      <c r="X722">
        <f t="shared" si="548"/>
        <v>187.36</v>
      </c>
      <c r="Y722">
        <f t="shared" si="549"/>
        <v>26.77</v>
      </c>
      <c r="AA722">
        <v>1471531721</v>
      </c>
      <c r="AB722">
        <f t="shared" si="550"/>
        <v>5375.66</v>
      </c>
      <c r="AC722">
        <f t="shared" si="576"/>
        <v>22.51</v>
      </c>
      <c r="AD722">
        <f t="shared" si="577"/>
        <v>0</v>
      </c>
      <c r="AE722">
        <f t="shared" si="578"/>
        <v>0</v>
      </c>
      <c r="AF722">
        <f t="shared" si="578"/>
        <v>5353.15</v>
      </c>
      <c r="AG722">
        <f t="shared" si="551"/>
        <v>0</v>
      </c>
      <c r="AH722">
        <f t="shared" si="579"/>
        <v>10</v>
      </c>
      <c r="AI722">
        <f t="shared" si="579"/>
        <v>0</v>
      </c>
      <c r="AJ722">
        <f t="shared" si="552"/>
        <v>0</v>
      </c>
      <c r="AK722">
        <v>5375.66</v>
      </c>
      <c r="AL722">
        <v>22.51</v>
      </c>
      <c r="AM722">
        <v>0</v>
      </c>
      <c r="AN722">
        <v>0</v>
      </c>
      <c r="AO722">
        <v>5353.15</v>
      </c>
      <c r="AP722">
        <v>0</v>
      </c>
      <c r="AQ722">
        <v>10</v>
      </c>
      <c r="AR722">
        <v>0</v>
      </c>
      <c r="AS722">
        <v>0</v>
      </c>
      <c r="AT722">
        <v>70</v>
      </c>
      <c r="AU722">
        <v>10</v>
      </c>
      <c r="AV722">
        <v>1</v>
      </c>
      <c r="AW722">
        <v>1</v>
      </c>
      <c r="AZ722">
        <v>1</v>
      </c>
      <c r="BA722">
        <v>1</v>
      </c>
      <c r="BB722">
        <v>1</v>
      </c>
      <c r="BC722">
        <v>1</v>
      </c>
      <c r="BD722" t="s">
        <v>3</v>
      </c>
      <c r="BE722" t="s">
        <v>3</v>
      </c>
      <c r="BF722" t="s">
        <v>3</v>
      </c>
      <c r="BG722" t="s">
        <v>3</v>
      </c>
      <c r="BH722">
        <v>0</v>
      </c>
      <c r="BI722">
        <v>4</v>
      </c>
      <c r="BJ722" t="s">
        <v>238</v>
      </c>
      <c r="BM722">
        <v>0</v>
      </c>
      <c r="BN722">
        <v>0</v>
      </c>
      <c r="BO722" t="s">
        <v>3</v>
      </c>
      <c r="BP722">
        <v>0</v>
      </c>
      <c r="BQ722">
        <v>1</v>
      </c>
      <c r="BR722">
        <v>0</v>
      </c>
      <c r="BS722">
        <v>1</v>
      </c>
      <c r="BT722">
        <v>1</v>
      </c>
      <c r="BU722">
        <v>1</v>
      </c>
      <c r="BV722">
        <v>1</v>
      </c>
      <c r="BW722">
        <v>1</v>
      </c>
      <c r="BX722">
        <v>1</v>
      </c>
      <c r="BY722" t="s">
        <v>3</v>
      </c>
      <c r="BZ722">
        <v>70</v>
      </c>
      <c r="CA722">
        <v>10</v>
      </c>
      <c r="CB722" t="s">
        <v>3</v>
      </c>
      <c r="CE722">
        <v>0</v>
      </c>
      <c r="CF722">
        <v>0</v>
      </c>
      <c r="CG722">
        <v>0</v>
      </c>
      <c r="CM722">
        <v>0</v>
      </c>
      <c r="CN722" t="s">
        <v>3</v>
      </c>
      <c r="CO722">
        <v>0</v>
      </c>
      <c r="CP722">
        <f t="shared" si="553"/>
        <v>268.79000000000002</v>
      </c>
      <c r="CQ722">
        <f t="shared" si="554"/>
        <v>22.51</v>
      </c>
      <c r="CR722">
        <f t="shared" si="580"/>
        <v>0</v>
      </c>
      <c r="CS722">
        <f t="shared" si="555"/>
        <v>0</v>
      </c>
      <c r="CT722">
        <f t="shared" si="556"/>
        <v>5353.15</v>
      </c>
      <c r="CU722">
        <f t="shared" si="557"/>
        <v>0</v>
      </c>
      <c r="CV722">
        <f t="shared" si="558"/>
        <v>10</v>
      </c>
      <c r="CW722">
        <f t="shared" si="559"/>
        <v>0</v>
      </c>
      <c r="CX722">
        <f t="shared" si="560"/>
        <v>0</v>
      </c>
      <c r="CY722">
        <f t="shared" si="561"/>
        <v>187.36199999999999</v>
      </c>
      <c r="CZ722">
        <f t="shared" si="562"/>
        <v>26.766000000000005</v>
      </c>
      <c r="DC722" t="s">
        <v>3</v>
      </c>
      <c r="DD722" t="s">
        <v>3</v>
      </c>
      <c r="DE722" t="s">
        <v>3</v>
      </c>
      <c r="DF722" t="s">
        <v>3</v>
      </c>
      <c r="DG722" t="s">
        <v>3</v>
      </c>
      <c r="DH722" t="s">
        <v>3</v>
      </c>
      <c r="DI722" t="s">
        <v>3</v>
      </c>
      <c r="DJ722" t="s">
        <v>3</v>
      </c>
      <c r="DK722" t="s">
        <v>3</v>
      </c>
      <c r="DL722" t="s">
        <v>3</v>
      </c>
      <c r="DM722" t="s">
        <v>3</v>
      </c>
      <c r="DN722">
        <v>0</v>
      </c>
      <c r="DO722">
        <v>0</v>
      </c>
      <c r="DP722">
        <v>1</v>
      </c>
      <c r="DQ722">
        <v>1</v>
      </c>
      <c r="DU722">
        <v>1003</v>
      </c>
      <c r="DV722" t="s">
        <v>60</v>
      </c>
      <c r="DW722" t="s">
        <v>60</v>
      </c>
      <c r="DX722">
        <v>100</v>
      </c>
      <c r="DZ722" t="s">
        <v>3</v>
      </c>
      <c r="EA722" t="s">
        <v>3</v>
      </c>
      <c r="EB722" t="s">
        <v>3</v>
      </c>
      <c r="EC722" t="s">
        <v>3</v>
      </c>
      <c r="EE722">
        <v>1441815344</v>
      </c>
      <c r="EF722">
        <v>1</v>
      </c>
      <c r="EG722" t="s">
        <v>21</v>
      </c>
      <c r="EH722">
        <v>0</v>
      </c>
      <c r="EI722" t="s">
        <v>3</v>
      </c>
      <c r="EJ722">
        <v>4</v>
      </c>
      <c r="EK722">
        <v>0</v>
      </c>
      <c r="EL722" t="s">
        <v>22</v>
      </c>
      <c r="EM722" t="s">
        <v>23</v>
      </c>
      <c r="EO722" t="s">
        <v>3</v>
      </c>
      <c r="EQ722">
        <v>0</v>
      </c>
      <c r="ER722">
        <v>5375.66</v>
      </c>
      <c r="ES722">
        <v>22.51</v>
      </c>
      <c r="ET722">
        <v>0</v>
      </c>
      <c r="EU722">
        <v>0</v>
      </c>
      <c r="EV722">
        <v>5353.15</v>
      </c>
      <c r="EW722">
        <v>10</v>
      </c>
      <c r="EX722">
        <v>0</v>
      </c>
      <c r="EY722">
        <v>0</v>
      </c>
      <c r="FQ722">
        <v>0</v>
      </c>
      <c r="FR722">
        <f t="shared" si="563"/>
        <v>0</v>
      </c>
      <c r="FS722">
        <v>0</v>
      </c>
      <c r="FX722">
        <v>70</v>
      </c>
      <c r="FY722">
        <v>10</v>
      </c>
      <c r="GA722" t="s">
        <v>3</v>
      </c>
      <c r="GD722">
        <v>0</v>
      </c>
      <c r="GF722">
        <v>409781007</v>
      </c>
      <c r="GG722">
        <v>2</v>
      </c>
      <c r="GH722">
        <v>1</v>
      </c>
      <c r="GI722">
        <v>-2</v>
      </c>
      <c r="GJ722">
        <v>0</v>
      </c>
      <c r="GK722">
        <f>ROUND(R722*(R12)/100,2)</f>
        <v>0</v>
      </c>
      <c r="GL722">
        <f t="shared" si="564"/>
        <v>0</v>
      </c>
      <c r="GM722">
        <f t="shared" si="565"/>
        <v>482.92</v>
      </c>
      <c r="GN722">
        <f t="shared" si="566"/>
        <v>0</v>
      </c>
      <c r="GO722">
        <f t="shared" si="567"/>
        <v>0</v>
      </c>
      <c r="GP722">
        <f t="shared" si="568"/>
        <v>482.92</v>
      </c>
      <c r="GR722">
        <v>0</v>
      </c>
      <c r="GS722">
        <v>3</v>
      </c>
      <c r="GT722">
        <v>0</v>
      </c>
      <c r="GU722" t="s">
        <v>3</v>
      </c>
      <c r="GV722">
        <f t="shared" si="569"/>
        <v>0</v>
      </c>
      <c r="GW722">
        <v>1</v>
      </c>
      <c r="GX722">
        <f t="shared" si="570"/>
        <v>0</v>
      </c>
      <c r="HA722">
        <v>0</v>
      </c>
      <c r="HB722">
        <v>0</v>
      </c>
      <c r="HC722">
        <f t="shared" si="571"/>
        <v>0</v>
      </c>
      <c r="HE722" t="s">
        <v>3</v>
      </c>
      <c r="HF722" t="s">
        <v>3</v>
      </c>
      <c r="HM722" t="s">
        <v>3</v>
      </c>
      <c r="HN722" t="s">
        <v>3</v>
      </c>
      <c r="HO722" t="s">
        <v>3</v>
      </c>
      <c r="HP722" t="s">
        <v>3</v>
      </c>
      <c r="HQ722" t="s">
        <v>3</v>
      </c>
      <c r="IK722">
        <v>0</v>
      </c>
    </row>
    <row r="723" spans="1:245" x14ac:dyDescent="0.2">
      <c r="A723">
        <v>17</v>
      </c>
      <c r="B723">
        <v>1</v>
      </c>
      <c r="D723">
        <f>ROW(EtalonRes!A464)</f>
        <v>464</v>
      </c>
      <c r="E723" t="s">
        <v>3</v>
      </c>
      <c r="F723" t="s">
        <v>239</v>
      </c>
      <c r="G723" t="s">
        <v>244</v>
      </c>
      <c r="H723" t="s">
        <v>60</v>
      </c>
      <c r="I723">
        <f>ROUND(50*5*0.1/100,9)</f>
        <v>0.25</v>
      </c>
      <c r="J723">
        <v>0</v>
      </c>
      <c r="K723">
        <f>ROUND(50*5*0.1/100,9)</f>
        <v>0.25</v>
      </c>
      <c r="O723">
        <f t="shared" si="539"/>
        <v>44.17</v>
      </c>
      <c r="P723">
        <f t="shared" si="540"/>
        <v>0</v>
      </c>
      <c r="Q723">
        <f t="shared" si="541"/>
        <v>0</v>
      </c>
      <c r="R723">
        <f t="shared" si="542"/>
        <v>0</v>
      </c>
      <c r="S723">
        <f t="shared" si="543"/>
        <v>44.17</v>
      </c>
      <c r="T723">
        <f t="shared" si="544"/>
        <v>0</v>
      </c>
      <c r="U723">
        <f t="shared" si="545"/>
        <v>8.2500000000000004E-2</v>
      </c>
      <c r="V723">
        <f t="shared" si="546"/>
        <v>0</v>
      </c>
      <c r="W723">
        <f t="shared" si="547"/>
        <v>0</v>
      </c>
      <c r="X723">
        <f t="shared" si="548"/>
        <v>30.92</v>
      </c>
      <c r="Y723">
        <f t="shared" si="549"/>
        <v>4.42</v>
      </c>
      <c r="AA723">
        <v>-1</v>
      </c>
      <c r="AB723">
        <f t="shared" si="550"/>
        <v>176.66</v>
      </c>
      <c r="AC723">
        <f t="shared" si="576"/>
        <v>0</v>
      </c>
      <c r="AD723">
        <f t="shared" si="577"/>
        <v>0</v>
      </c>
      <c r="AE723">
        <f t="shared" si="578"/>
        <v>0</v>
      </c>
      <c r="AF723">
        <f t="shared" si="578"/>
        <v>176.66</v>
      </c>
      <c r="AG723">
        <f t="shared" si="551"/>
        <v>0</v>
      </c>
      <c r="AH723">
        <f t="shared" si="579"/>
        <v>0.33</v>
      </c>
      <c r="AI723">
        <f t="shared" si="579"/>
        <v>0</v>
      </c>
      <c r="AJ723">
        <f t="shared" si="552"/>
        <v>0</v>
      </c>
      <c r="AK723">
        <v>176.66</v>
      </c>
      <c r="AL723">
        <v>0</v>
      </c>
      <c r="AM723">
        <v>0</v>
      </c>
      <c r="AN723">
        <v>0</v>
      </c>
      <c r="AO723">
        <v>176.66</v>
      </c>
      <c r="AP723">
        <v>0</v>
      </c>
      <c r="AQ723">
        <v>0.33</v>
      </c>
      <c r="AR723">
        <v>0</v>
      </c>
      <c r="AS723">
        <v>0</v>
      </c>
      <c r="AT723">
        <v>70</v>
      </c>
      <c r="AU723">
        <v>10</v>
      </c>
      <c r="AV723">
        <v>1</v>
      </c>
      <c r="AW723">
        <v>1</v>
      </c>
      <c r="AZ723">
        <v>1</v>
      </c>
      <c r="BA723">
        <v>1</v>
      </c>
      <c r="BB723">
        <v>1</v>
      </c>
      <c r="BC723">
        <v>1</v>
      </c>
      <c r="BD723" t="s">
        <v>3</v>
      </c>
      <c r="BE723" t="s">
        <v>3</v>
      </c>
      <c r="BF723" t="s">
        <v>3</v>
      </c>
      <c r="BG723" t="s">
        <v>3</v>
      </c>
      <c r="BH723">
        <v>0</v>
      </c>
      <c r="BI723">
        <v>4</v>
      </c>
      <c r="BJ723" t="s">
        <v>241</v>
      </c>
      <c r="BM723">
        <v>0</v>
      </c>
      <c r="BN723">
        <v>0</v>
      </c>
      <c r="BO723" t="s">
        <v>3</v>
      </c>
      <c r="BP723">
        <v>0</v>
      </c>
      <c r="BQ723">
        <v>1</v>
      </c>
      <c r="BR723">
        <v>0</v>
      </c>
      <c r="BS723">
        <v>1</v>
      </c>
      <c r="BT723">
        <v>1</v>
      </c>
      <c r="BU723">
        <v>1</v>
      </c>
      <c r="BV723">
        <v>1</v>
      </c>
      <c r="BW723">
        <v>1</v>
      </c>
      <c r="BX723">
        <v>1</v>
      </c>
      <c r="BY723" t="s">
        <v>3</v>
      </c>
      <c r="BZ723">
        <v>70</v>
      </c>
      <c r="CA723">
        <v>10</v>
      </c>
      <c r="CB723" t="s">
        <v>3</v>
      </c>
      <c r="CE723">
        <v>0</v>
      </c>
      <c r="CF723">
        <v>0</v>
      </c>
      <c r="CG723">
        <v>0</v>
      </c>
      <c r="CM723">
        <v>0</v>
      </c>
      <c r="CN723" t="s">
        <v>3</v>
      </c>
      <c r="CO723">
        <v>0</v>
      </c>
      <c r="CP723">
        <f t="shared" si="553"/>
        <v>44.17</v>
      </c>
      <c r="CQ723">
        <f t="shared" si="554"/>
        <v>0</v>
      </c>
      <c r="CR723">
        <f t="shared" si="580"/>
        <v>0</v>
      </c>
      <c r="CS723">
        <f t="shared" si="555"/>
        <v>0</v>
      </c>
      <c r="CT723">
        <f t="shared" si="556"/>
        <v>176.66</v>
      </c>
      <c r="CU723">
        <f t="shared" si="557"/>
        <v>0</v>
      </c>
      <c r="CV723">
        <f t="shared" si="558"/>
        <v>0.33</v>
      </c>
      <c r="CW723">
        <f t="shared" si="559"/>
        <v>0</v>
      </c>
      <c r="CX723">
        <f t="shared" si="560"/>
        <v>0</v>
      </c>
      <c r="CY723">
        <f t="shared" si="561"/>
        <v>30.919</v>
      </c>
      <c r="CZ723">
        <f t="shared" si="562"/>
        <v>4.4170000000000007</v>
      </c>
      <c r="DC723" t="s">
        <v>3</v>
      </c>
      <c r="DD723" t="s">
        <v>3</v>
      </c>
      <c r="DE723" t="s">
        <v>3</v>
      </c>
      <c r="DF723" t="s">
        <v>3</v>
      </c>
      <c r="DG723" t="s">
        <v>3</v>
      </c>
      <c r="DH723" t="s">
        <v>3</v>
      </c>
      <c r="DI723" t="s">
        <v>3</v>
      </c>
      <c r="DJ723" t="s">
        <v>3</v>
      </c>
      <c r="DK723" t="s">
        <v>3</v>
      </c>
      <c r="DL723" t="s">
        <v>3</v>
      </c>
      <c r="DM723" t="s">
        <v>3</v>
      </c>
      <c r="DN723">
        <v>0</v>
      </c>
      <c r="DO723">
        <v>0</v>
      </c>
      <c r="DP723">
        <v>1</v>
      </c>
      <c r="DQ723">
        <v>1</v>
      </c>
      <c r="DU723">
        <v>1003</v>
      </c>
      <c r="DV723" t="s">
        <v>60</v>
      </c>
      <c r="DW723" t="s">
        <v>60</v>
      </c>
      <c r="DX723">
        <v>100</v>
      </c>
      <c r="DZ723" t="s">
        <v>3</v>
      </c>
      <c r="EA723" t="s">
        <v>3</v>
      </c>
      <c r="EB723" t="s">
        <v>3</v>
      </c>
      <c r="EC723" t="s">
        <v>3</v>
      </c>
      <c r="EE723">
        <v>1441815344</v>
      </c>
      <c r="EF723">
        <v>1</v>
      </c>
      <c r="EG723" t="s">
        <v>21</v>
      </c>
      <c r="EH723">
        <v>0</v>
      </c>
      <c r="EI723" t="s">
        <v>3</v>
      </c>
      <c r="EJ723">
        <v>4</v>
      </c>
      <c r="EK723">
        <v>0</v>
      </c>
      <c r="EL723" t="s">
        <v>22</v>
      </c>
      <c r="EM723" t="s">
        <v>23</v>
      </c>
      <c r="EO723" t="s">
        <v>3</v>
      </c>
      <c r="EQ723">
        <v>1024</v>
      </c>
      <c r="ER723">
        <v>176.66</v>
      </c>
      <c r="ES723">
        <v>0</v>
      </c>
      <c r="ET723">
        <v>0</v>
      </c>
      <c r="EU723">
        <v>0</v>
      </c>
      <c r="EV723">
        <v>176.66</v>
      </c>
      <c r="EW723">
        <v>0.33</v>
      </c>
      <c r="EX723">
        <v>0</v>
      </c>
      <c r="EY723">
        <v>0</v>
      </c>
      <c r="FQ723">
        <v>0</v>
      </c>
      <c r="FR723">
        <f t="shared" si="563"/>
        <v>0</v>
      </c>
      <c r="FS723">
        <v>0</v>
      </c>
      <c r="FX723">
        <v>70</v>
      </c>
      <c r="FY723">
        <v>10</v>
      </c>
      <c r="GA723" t="s">
        <v>3</v>
      </c>
      <c r="GD723">
        <v>0</v>
      </c>
      <c r="GF723">
        <v>-89122687</v>
      </c>
      <c r="GG723">
        <v>2</v>
      </c>
      <c r="GH723">
        <v>1</v>
      </c>
      <c r="GI723">
        <v>-2</v>
      </c>
      <c r="GJ723">
        <v>0</v>
      </c>
      <c r="GK723">
        <f>ROUND(R723*(R12)/100,2)</f>
        <v>0</v>
      </c>
      <c r="GL723">
        <f t="shared" si="564"/>
        <v>0</v>
      </c>
      <c r="GM723">
        <f t="shared" si="565"/>
        <v>79.510000000000005</v>
      </c>
      <c r="GN723">
        <f t="shared" si="566"/>
        <v>0</v>
      </c>
      <c r="GO723">
        <f t="shared" si="567"/>
        <v>0</v>
      </c>
      <c r="GP723">
        <f t="shared" si="568"/>
        <v>79.510000000000005</v>
      </c>
      <c r="GR723">
        <v>0</v>
      </c>
      <c r="GS723">
        <v>3</v>
      </c>
      <c r="GT723">
        <v>0</v>
      </c>
      <c r="GU723" t="s">
        <v>3</v>
      </c>
      <c r="GV723">
        <f t="shared" si="569"/>
        <v>0</v>
      </c>
      <c r="GW723">
        <v>1</v>
      </c>
      <c r="GX723">
        <f t="shared" si="570"/>
        <v>0</v>
      </c>
      <c r="HA723">
        <v>0</v>
      </c>
      <c r="HB723">
        <v>0</v>
      </c>
      <c r="HC723">
        <f t="shared" si="571"/>
        <v>0</v>
      </c>
      <c r="HE723" t="s">
        <v>3</v>
      </c>
      <c r="HF723" t="s">
        <v>3</v>
      </c>
      <c r="HM723" t="s">
        <v>3</v>
      </c>
      <c r="HN723" t="s">
        <v>3</v>
      </c>
      <c r="HO723" t="s">
        <v>3</v>
      </c>
      <c r="HP723" t="s">
        <v>3</v>
      </c>
      <c r="HQ723" t="s">
        <v>3</v>
      </c>
      <c r="IK723">
        <v>0</v>
      </c>
    </row>
    <row r="724" spans="1:245" x14ac:dyDescent="0.2">
      <c r="A724">
        <v>17</v>
      </c>
      <c r="B724">
        <v>1</v>
      </c>
      <c r="D724">
        <f>ROW(EtalonRes!A466)</f>
        <v>466</v>
      </c>
      <c r="E724" t="s">
        <v>342</v>
      </c>
      <c r="F724" t="s">
        <v>236</v>
      </c>
      <c r="G724" t="s">
        <v>343</v>
      </c>
      <c r="H724" t="s">
        <v>60</v>
      </c>
      <c r="I724">
        <f>ROUND(10*5*0.2*0.1/100,9)</f>
        <v>0.01</v>
      </c>
      <c r="J724">
        <v>0</v>
      </c>
      <c r="K724">
        <f>ROUND(10*5*0.2*0.1/100,9)</f>
        <v>0.01</v>
      </c>
      <c r="O724">
        <f t="shared" si="539"/>
        <v>53.76</v>
      </c>
      <c r="P724">
        <f t="shared" si="540"/>
        <v>0.23</v>
      </c>
      <c r="Q724">
        <f t="shared" si="541"/>
        <v>0</v>
      </c>
      <c r="R724">
        <f t="shared" si="542"/>
        <v>0</v>
      </c>
      <c r="S724">
        <f t="shared" si="543"/>
        <v>53.53</v>
      </c>
      <c r="T724">
        <f t="shared" si="544"/>
        <v>0</v>
      </c>
      <c r="U724">
        <f t="shared" si="545"/>
        <v>0.1</v>
      </c>
      <c r="V724">
        <f t="shared" si="546"/>
        <v>0</v>
      </c>
      <c r="W724">
        <f t="shared" si="547"/>
        <v>0</v>
      </c>
      <c r="X724">
        <f t="shared" si="548"/>
        <v>37.47</v>
      </c>
      <c r="Y724">
        <f t="shared" si="549"/>
        <v>5.35</v>
      </c>
      <c r="AA724">
        <v>1471531721</v>
      </c>
      <c r="AB724">
        <f t="shared" si="550"/>
        <v>5375.66</v>
      </c>
      <c r="AC724">
        <f t="shared" si="576"/>
        <v>22.51</v>
      </c>
      <c r="AD724">
        <f t="shared" si="577"/>
        <v>0</v>
      </c>
      <c r="AE724">
        <f t="shared" si="578"/>
        <v>0</v>
      </c>
      <c r="AF724">
        <f t="shared" si="578"/>
        <v>5353.15</v>
      </c>
      <c r="AG724">
        <f t="shared" si="551"/>
        <v>0</v>
      </c>
      <c r="AH724">
        <f t="shared" si="579"/>
        <v>10</v>
      </c>
      <c r="AI724">
        <f t="shared" si="579"/>
        <v>0</v>
      </c>
      <c r="AJ724">
        <f t="shared" si="552"/>
        <v>0</v>
      </c>
      <c r="AK724">
        <v>5375.66</v>
      </c>
      <c r="AL724">
        <v>22.51</v>
      </c>
      <c r="AM724">
        <v>0</v>
      </c>
      <c r="AN724">
        <v>0</v>
      </c>
      <c r="AO724">
        <v>5353.15</v>
      </c>
      <c r="AP724">
        <v>0</v>
      </c>
      <c r="AQ724">
        <v>10</v>
      </c>
      <c r="AR724">
        <v>0</v>
      </c>
      <c r="AS724">
        <v>0</v>
      </c>
      <c r="AT724">
        <v>70</v>
      </c>
      <c r="AU724">
        <v>10</v>
      </c>
      <c r="AV724">
        <v>1</v>
      </c>
      <c r="AW724">
        <v>1</v>
      </c>
      <c r="AZ724">
        <v>1</v>
      </c>
      <c r="BA724">
        <v>1</v>
      </c>
      <c r="BB724">
        <v>1</v>
      </c>
      <c r="BC724">
        <v>1</v>
      </c>
      <c r="BD724" t="s">
        <v>3</v>
      </c>
      <c r="BE724" t="s">
        <v>3</v>
      </c>
      <c r="BF724" t="s">
        <v>3</v>
      </c>
      <c r="BG724" t="s">
        <v>3</v>
      </c>
      <c r="BH724">
        <v>0</v>
      </c>
      <c r="BI724">
        <v>4</v>
      </c>
      <c r="BJ724" t="s">
        <v>238</v>
      </c>
      <c r="BM724">
        <v>0</v>
      </c>
      <c r="BN724">
        <v>0</v>
      </c>
      <c r="BO724" t="s">
        <v>3</v>
      </c>
      <c r="BP724">
        <v>0</v>
      </c>
      <c r="BQ724">
        <v>1</v>
      </c>
      <c r="BR724">
        <v>0</v>
      </c>
      <c r="BS724">
        <v>1</v>
      </c>
      <c r="BT724">
        <v>1</v>
      </c>
      <c r="BU724">
        <v>1</v>
      </c>
      <c r="BV724">
        <v>1</v>
      </c>
      <c r="BW724">
        <v>1</v>
      </c>
      <c r="BX724">
        <v>1</v>
      </c>
      <c r="BY724" t="s">
        <v>3</v>
      </c>
      <c r="BZ724">
        <v>70</v>
      </c>
      <c r="CA724">
        <v>10</v>
      </c>
      <c r="CB724" t="s">
        <v>3</v>
      </c>
      <c r="CE724">
        <v>0</v>
      </c>
      <c r="CF724">
        <v>0</v>
      </c>
      <c r="CG724">
        <v>0</v>
      </c>
      <c r="CM724">
        <v>0</v>
      </c>
      <c r="CN724" t="s">
        <v>3</v>
      </c>
      <c r="CO724">
        <v>0</v>
      </c>
      <c r="CP724">
        <f t="shared" si="553"/>
        <v>53.76</v>
      </c>
      <c r="CQ724">
        <f t="shared" si="554"/>
        <v>22.51</v>
      </c>
      <c r="CR724">
        <f t="shared" si="580"/>
        <v>0</v>
      </c>
      <c r="CS724">
        <f t="shared" si="555"/>
        <v>0</v>
      </c>
      <c r="CT724">
        <f t="shared" si="556"/>
        <v>5353.15</v>
      </c>
      <c r="CU724">
        <f t="shared" si="557"/>
        <v>0</v>
      </c>
      <c r="CV724">
        <f t="shared" si="558"/>
        <v>10</v>
      </c>
      <c r="CW724">
        <f t="shared" si="559"/>
        <v>0</v>
      </c>
      <c r="CX724">
        <f t="shared" si="560"/>
        <v>0</v>
      </c>
      <c r="CY724">
        <f t="shared" si="561"/>
        <v>37.470999999999997</v>
      </c>
      <c r="CZ724">
        <f t="shared" si="562"/>
        <v>5.3529999999999998</v>
      </c>
      <c r="DC724" t="s">
        <v>3</v>
      </c>
      <c r="DD724" t="s">
        <v>3</v>
      </c>
      <c r="DE724" t="s">
        <v>3</v>
      </c>
      <c r="DF724" t="s">
        <v>3</v>
      </c>
      <c r="DG724" t="s">
        <v>3</v>
      </c>
      <c r="DH724" t="s">
        <v>3</v>
      </c>
      <c r="DI724" t="s">
        <v>3</v>
      </c>
      <c r="DJ724" t="s">
        <v>3</v>
      </c>
      <c r="DK724" t="s">
        <v>3</v>
      </c>
      <c r="DL724" t="s">
        <v>3</v>
      </c>
      <c r="DM724" t="s">
        <v>3</v>
      </c>
      <c r="DN724">
        <v>0</v>
      </c>
      <c r="DO724">
        <v>0</v>
      </c>
      <c r="DP724">
        <v>1</v>
      </c>
      <c r="DQ724">
        <v>1</v>
      </c>
      <c r="DU724">
        <v>1003</v>
      </c>
      <c r="DV724" t="s">
        <v>60</v>
      </c>
      <c r="DW724" t="s">
        <v>60</v>
      </c>
      <c r="DX724">
        <v>100</v>
      </c>
      <c r="DZ724" t="s">
        <v>3</v>
      </c>
      <c r="EA724" t="s">
        <v>3</v>
      </c>
      <c r="EB724" t="s">
        <v>3</v>
      </c>
      <c r="EC724" t="s">
        <v>3</v>
      </c>
      <c r="EE724">
        <v>1441815344</v>
      </c>
      <c r="EF724">
        <v>1</v>
      </c>
      <c r="EG724" t="s">
        <v>21</v>
      </c>
      <c r="EH724">
        <v>0</v>
      </c>
      <c r="EI724" t="s">
        <v>3</v>
      </c>
      <c r="EJ724">
        <v>4</v>
      </c>
      <c r="EK724">
        <v>0</v>
      </c>
      <c r="EL724" t="s">
        <v>22</v>
      </c>
      <c r="EM724" t="s">
        <v>23</v>
      </c>
      <c r="EO724" t="s">
        <v>3</v>
      </c>
      <c r="EQ724">
        <v>0</v>
      </c>
      <c r="ER724">
        <v>5375.66</v>
      </c>
      <c r="ES724">
        <v>22.51</v>
      </c>
      <c r="ET724">
        <v>0</v>
      </c>
      <c r="EU724">
        <v>0</v>
      </c>
      <c r="EV724">
        <v>5353.15</v>
      </c>
      <c r="EW724">
        <v>10</v>
      </c>
      <c r="EX724">
        <v>0</v>
      </c>
      <c r="EY724">
        <v>0</v>
      </c>
      <c r="FQ724">
        <v>0</v>
      </c>
      <c r="FR724">
        <f t="shared" si="563"/>
        <v>0</v>
      </c>
      <c r="FS724">
        <v>0</v>
      </c>
      <c r="FX724">
        <v>70</v>
      </c>
      <c r="FY724">
        <v>10</v>
      </c>
      <c r="GA724" t="s">
        <v>3</v>
      </c>
      <c r="GD724">
        <v>0</v>
      </c>
      <c r="GF724">
        <v>743796505</v>
      </c>
      <c r="GG724">
        <v>2</v>
      </c>
      <c r="GH724">
        <v>1</v>
      </c>
      <c r="GI724">
        <v>-2</v>
      </c>
      <c r="GJ724">
        <v>0</v>
      </c>
      <c r="GK724">
        <f>ROUND(R724*(R12)/100,2)</f>
        <v>0</v>
      </c>
      <c r="GL724">
        <f t="shared" si="564"/>
        <v>0</v>
      </c>
      <c r="GM724">
        <f t="shared" si="565"/>
        <v>96.58</v>
      </c>
      <c r="GN724">
        <f t="shared" si="566"/>
        <v>0</v>
      </c>
      <c r="GO724">
        <f t="shared" si="567"/>
        <v>0</v>
      </c>
      <c r="GP724">
        <f t="shared" si="568"/>
        <v>96.58</v>
      </c>
      <c r="GR724">
        <v>0</v>
      </c>
      <c r="GS724">
        <v>3</v>
      </c>
      <c r="GT724">
        <v>0</v>
      </c>
      <c r="GU724" t="s">
        <v>3</v>
      </c>
      <c r="GV724">
        <f t="shared" si="569"/>
        <v>0</v>
      </c>
      <c r="GW724">
        <v>1</v>
      </c>
      <c r="GX724">
        <f t="shared" si="570"/>
        <v>0</v>
      </c>
      <c r="HA724">
        <v>0</v>
      </c>
      <c r="HB724">
        <v>0</v>
      </c>
      <c r="HC724">
        <f t="shared" si="571"/>
        <v>0</v>
      </c>
      <c r="HE724" t="s">
        <v>3</v>
      </c>
      <c r="HF724" t="s">
        <v>3</v>
      </c>
      <c r="HM724" t="s">
        <v>3</v>
      </c>
      <c r="HN724" t="s">
        <v>3</v>
      </c>
      <c r="HO724" t="s">
        <v>3</v>
      </c>
      <c r="HP724" t="s">
        <v>3</v>
      </c>
      <c r="HQ724" t="s">
        <v>3</v>
      </c>
      <c r="IK724">
        <v>0</v>
      </c>
    </row>
    <row r="725" spans="1:245" x14ac:dyDescent="0.2">
      <c r="A725">
        <v>17</v>
      </c>
      <c r="B725">
        <v>1</v>
      </c>
      <c r="D725">
        <f>ROW(EtalonRes!A467)</f>
        <v>467</v>
      </c>
      <c r="E725" t="s">
        <v>3</v>
      </c>
      <c r="F725" t="s">
        <v>239</v>
      </c>
      <c r="G725" t="s">
        <v>344</v>
      </c>
      <c r="H725" t="s">
        <v>60</v>
      </c>
      <c r="I725">
        <f>ROUND(10*5*0.1/100,9)</f>
        <v>0.05</v>
      </c>
      <c r="J725">
        <v>0</v>
      </c>
      <c r="K725">
        <f>ROUND(10*5*0.1/100,9)</f>
        <v>0.05</v>
      </c>
      <c r="O725">
        <f t="shared" si="539"/>
        <v>8.83</v>
      </c>
      <c r="P725">
        <f t="shared" si="540"/>
        <v>0</v>
      </c>
      <c r="Q725">
        <f t="shared" si="541"/>
        <v>0</v>
      </c>
      <c r="R725">
        <f t="shared" si="542"/>
        <v>0</v>
      </c>
      <c r="S725">
        <f t="shared" si="543"/>
        <v>8.83</v>
      </c>
      <c r="T725">
        <f t="shared" si="544"/>
        <v>0</v>
      </c>
      <c r="U725">
        <f t="shared" si="545"/>
        <v>1.6500000000000001E-2</v>
      </c>
      <c r="V725">
        <f t="shared" si="546"/>
        <v>0</v>
      </c>
      <c r="W725">
        <f t="shared" si="547"/>
        <v>0</v>
      </c>
      <c r="X725">
        <f t="shared" si="548"/>
        <v>6.18</v>
      </c>
      <c r="Y725">
        <f t="shared" si="549"/>
        <v>0.88</v>
      </c>
      <c r="AA725">
        <v>-1</v>
      </c>
      <c r="AB725">
        <f t="shared" si="550"/>
        <v>176.66</v>
      </c>
      <c r="AC725">
        <f t="shared" si="576"/>
        <v>0</v>
      </c>
      <c r="AD725">
        <f t="shared" si="577"/>
        <v>0</v>
      </c>
      <c r="AE725">
        <f t="shared" si="578"/>
        <v>0</v>
      </c>
      <c r="AF725">
        <f t="shared" si="578"/>
        <v>176.66</v>
      </c>
      <c r="AG725">
        <f t="shared" si="551"/>
        <v>0</v>
      </c>
      <c r="AH725">
        <f t="shared" si="579"/>
        <v>0.33</v>
      </c>
      <c r="AI725">
        <f t="shared" si="579"/>
        <v>0</v>
      </c>
      <c r="AJ725">
        <f t="shared" si="552"/>
        <v>0</v>
      </c>
      <c r="AK725">
        <v>176.66</v>
      </c>
      <c r="AL725">
        <v>0</v>
      </c>
      <c r="AM725">
        <v>0</v>
      </c>
      <c r="AN725">
        <v>0</v>
      </c>
      <c r="AO725">
        <v>176.66</v>
      </c>
      <c r="AP725">
        <v>0</v>
      </c>
      <c r="AQ725">
        <v>0.33</v>
      </c>
      <c r="AR725">
        <v>0</v>
      </c>
      <c r="AS725">
        <v>0</v>
      </c>
      <c r="AT725">
        <v>70</v>
      </c>
      <c r="AU725">
        <v>10</v>
      </c>
      <c r="AV725">
        <v>1</v>
      </c>
      <c r="AW725">
        <v>1</v>
      </c>
      <c r="AZ725">
        <v>1</v>
      </c>
      <c r="BA725">
        <v>1</v>
      </c>
      <c r="BB725">
        <v>1</v>
      </c>
      <c r="BC725">
        <v>1</v>
      </c>
      <c r="BD725" t="s">
        <v>3</v>
      </c>
      <c r="BE725" t="s">
        <v>3</v>
      </c>
      <c r="BF725" t="s">
        <v>3</v>
      </c>
      <c r="BG725" t="s">
        <v>3</v>
      </c>
      <c r="BH725">
        <v>0</v>
      </c>
      <c r="BI725">
        <v>4</v>
      </c>
      <c r="BJ725" t="s">
        <v>241</v>
      </c>
      <c r="BM725">
        <v>0</v>
      </c>
      <c r="BN725">
        <v>0</v>
      </c>
      <c r="BO725" t="s">
        <v>3</v>
      </c>
      <c r="BP725">
        <v>0</v>
      </c>
      <c r="BQ725">
        <v>1</v>
      </c>
      <c r="BR725">
        <v>0</v>
      </c>
      <c r="BS725">
        <v>1</v>
      </c>
      <c r="BT725">
        <v>1</v>
      </c>
      <c r="BU725">
        <v>1</v>
      </c>
      <c r="BV725">
        <v>1</v>
      </c>
      <c r="BW725">
        <v>1</v>
      </c>
      <c r="BX725">
        <v>1</v>
      </c>
      <c r="BY725" t="s">
        <v>3</v>
      </c>
      <c r="BZ725">
        <v>70</v>
      </c>
      <c r="CA725">
        <v>10</v>
      </c>
      <c r="CB725" t="s">
        <v>3</v>
      </c>
      <c r="CE725">
        <v>0</v>
      </c>
      <c r="CF725">
        <v>0</v>
      </c>
      <c r="CG725">
        <v>0</v>
      </c>
      <c r="CM725">
        <v>0</v>
      </c>
      <c r="CN725" t="s">
        <v>3</v>
      </c>
      <c r="CO725">
        <v>0</v>
      </c>
      <c r="CP725">
        <f t="shared" si="553"/>
        <v>8.83</v>
      </c>
      <c r="CQ725">
        <f t="shared" si="554"/>
        <v>0</v>
      </c>
      <c r="CR725">
        <f t="shared" si="580"/>
        <v>0</v>
      </c>
      <c r="CS725">
        <f t="shared" si="555"/>
        <v>0</v>
      </c>
      <c r="CT725">
        <f t="shared" si="556"/>
        <v>176.66</v>
      </c>
      <c r="CU725">
        <f t="shared" si="557"/>
        <v>0</v>
      </c>
      <c r="CV725">
        <f t="shared" si="558"/>
        <v>0.33</v>
      </c>
      <c r="CW725">
        <f t="shared" si="559"/>
        <v>0</v>
      </c>
      <c r="CX725">
        <f t="shared" si="560"/>
        <v>0</v>
      </c>
      <c r="CY725">
        <f t="shared" si="561"/>
        <v>6.181</v>
      </c>
      <c r="CZ725">
        <f t="shared" si="562"/>
        <v>0.88300000000000001</v>
      </c>
      <c r="DC725" t="s">
        <v>3</v>
      </c>
      <c r="DD725" t="s">
        <v>3</v>
      </c>
      <c r="DE725" t="s">
        <v>3</v>
      </c>
      <c r="DF725" t="s">
        <v>3</v>
      </c>
      <c r="DG725" t="s">
        <v>3</v>
      </c>
      <c r="DH725" t="s">
        <v>3</v>
      </c>
      <c r="DI725" t="s">
        <v>3</v>
      </c>
      <c r="DJ725" t="s">
        <v>3</v>
      </c>
      <c r="DK725" t="s">
        <v>3</v>
      </c>
      <c r="DL725" t="s">
        <v>3</v>
      </c>
      <c r="DM725" t="s">
        <v>3</v>
      </c>
      <c r="DN725">
        <v>0</v>
      </c>
      <c r="DO725">
        <v>0</v>
      </c>
      <c r="DP725">
        <v>1</v>
      </c>
      <c r="DQ725">
        <v>1</v>
      </c>
      <c r="DU725">
        <v>1003</v>
      </c>
      <c r="DV725" t="s">
        <v>60</v>
      </c>
      <c r="DW725" t="s">
        <v>60</v>
      </c>
      <c r="DX725">
        <v>100</v>
      </c>
      <c r="DZ725" t="s">
        <v>3</v>
      </c>
      <c r="EA725" t="s">
        <v>3</v>
      </c>
      <c r="EB725" t="s">
        <v>3</v>
      </c>
      <c r="EC725" t="s">
        <v>3</v>
      </c>
      <c r="EE725">
        <v>1441815344</v>
      </c>
      <c r="EF725">
        <v>1</v>
      </c>
      <c r="EG725" t="s">
        <v>21</v>
      </c>
      <c r="EH725">
        <v>0</v>
      </c>
      <c r="EI725" t="s">
        <v>3</v>
      </c>
      <c r="EJ725">
        <v>4</v>
      </c>
      <c r="EK725">
        <v>0</v>
      </c>
      <c r="EL725" t="s">
        <v>22</v>
      </c>
      <c r="EM725" t="s">
        <v>23</v>
      </c>
      <c r="EO725" t="s">
        <v>3</v>
      </c>
      <c r="EQ725">
        <v>1024</v>
      </c>
      <c r="ER725">
        <v>176.66</v>
      </c>
      <c r="ES725">
        <v>0</v>
      </c>
      <c r="ET725">
        <v>0</v>
      </c>
      <c r="EU725">
        <v>0</v>
      </c>
      <c r="EV725">
        <v>176.66</v>
      </c>
      <c r="EW725">
        <v>0.33</v>
      </c>
      <c r="EX725">
        <v>0</v>
      </c>
      <c r="EY725">
        <v>0</v>
      </c>
      <c r="FQ725">
        <v>0</v>
      </c>
      <c r="FR725">
        <f t="shared" si="563"/>
        <v>0</v>
      </c>
      <c r="FS725">
        <v>0</v>
      </c>
      <c r="FX725">
        <v>70</v>
      </c>
      <c r="FY725">
        <v>10</v>
      </c>
      <c r="GA725" t="s">
        <v>3</v>
      </c>
      <c r="GD725">
        <v>0</v>
      </c>
      <c r="GF725">
        <v>-1250954649</v>
      </c>
      <c r="GG725">
        <v>2</v>
      </c>
      <c r="GH725">
        <v>1</v>
      </c>
      <c r="GI725">
        <v>-2</v>
      </c>
      <c r="GJ725">
        <v>0</v>
      </c>
      <c r="GK725">
        <f>ROUND(R725*(R12)/100,2)</f>
        <v>0</v>
      </c>
      <c r="GL725">
        <f t="shared" si="564"/>
        <v>0</v>
      </c>
      <c r="GM725">
        <f t="shared" si="565"/>
        <v>15.89</v>
      </c>
      <c r="GN725">
        <f t="shared" si="566"/>
        <v>0</v>
      </c>
      <c r="GO725">
        <f t="shared" si="567"/>
        <v>0</v>
      </c>
      <c r="GP725">
        <f t="shared" si="568"/>
        <v>15.89</v>
      </c>
      <c r="GR725">
        <v>0</v>
      </c>
      <c r="GS725">
        <v>3</v>
      </c>
      <c r="GT725">
        <v>0</v>
      </c>
      <c r="GU725" t="s">
        <v>3</v>
      </c>
      <c r="GV725">
        <f t="shared" si="569"/>
        <v>0</v>
      </c>
      <c r="GW725">
        <v>1</v>
      </c>
      <c r="GX725">
        <f t="shared" si="570"/>
        <v>0</v>
      </c>
      <c r="HA725">
        <v>0</v>
      </c>
      <c r="HB725">
        <v>0</v>
      </c>
      <c r="HC725">
        <f t="shared" si="571"/>
        <v>0</v>
      </c>
      <c r="HE725" t="s">
        <v>3</v>
      </c>
      <c r="HF725" t="s">
        <v>3</v>
      </c>
      <c r="HM725" t="s">
        <v>3</v>
      </c>
      <c r="HN725" t="s">
        <v>3</v>
      </c>
      <c r="HO725" t="s">
        <v>3</v>
      </c>
      <c r="HP725" t="s">
        <v>3</v>
      </c>
      <c r="HQ725" t="s">
        <v>3</v>
      </c>
      <c r="IK725">
        <v>0</v>
      </c>
    </row>
    <row r="727" spans="1:245" x14ac:dyDescent="0.2">
      <c r="A727" s="2">
        <v>51</v>
      </c>
      <c r="B727" s="2">
        <f>B695</f>
        <v>1</v>
      </c>
      <c r="C727" s="2">
        <f>A695</f>
        <v>5</v>
      </c>
      <c r="D727" s="2">
        <f>ROW(A695)</f>
        <v>695</v>
      </c>
      <c r="E727" s="2"/>
      <c r="F727" s="2" t="str">
        <f>IF(F695&lt;&gt;"",F695,"")</f>
        <v>Новый подраздел</v>
      </c>
      <c r="G727" s="2" t="str">
        <f>IF(G695&lt;&gt;"",G695,"")</f>
        <v>Электрооборудование</v>
      </c>
      <c r="H727" s="2">
        <v>0</v>
      </c>
      <c r="I727" s="2"/>
      <c r="J727" s="2"/>
      <c r="K727" s="2"/>
      <c r="L727" s="2"/>
      <c r="M727" s="2"/>
      <c r="N727" s="2"/>
      <c r="O727" s="2">
        <f t="shared" ref="O727:T727" si="581">ROUND(AB727,2)</f>
        <v>97191.360000000001</v>
      </c>
      <c r="P727" s="2">
        <f t="shared" si="581"/>
        <v>1158.1600000000001</v>
      </c>
      <c r="Q727" s="2">
        <f t="shared" si="581"/>
        <v>733.14</v>
      </c>
      <c r="R727" s="2">
        <f t="shared" si="581"/>
        <v>462.67</v>
      </c>
      <c r="S727" s="2">
        <f t="shared" si="581"/>
        <v>95300.06</v>
      </c>
      <c r="T727" s="2">
        <f t="shared" si="581"/>
        <v>0</v>
      </c>
      <c r="U727" s="2">
        <f>AH727</f>
        <v>156.84</v>
      </c>
      <c r="V727" s="2">
        <f>AI727</f>
        <v>0</v>
      </c>
      <c r="W727" s="2">
        <f>ROUND(AJ727,2)</f>
        <v>0</v>
      </c>
      <c r="X727" s="2">
        <f>ROUND(AK727,2)</f>
        <v>66710.05</v>
      </c>
      <c r="Y727" s="2">
        <f>ROUND(AL727,2)</f>
        <v>9530.02</v>
      </c>
      <c r="Z727" s="2"/>
      <c r="AA727" s="2"/>
      <c r="AB727" s="2">
        <f>ROUND(SUMIF(AA699:AA725,"=1471531721",O699:O725),2)</f>
        <v>97191.360000000001</v>
      </c>
      <c r="AC727" s="2">
        <f>ROUND(SUMIF(AA699:AA725,"=1471531721",P699:P725),2)</f>
        <v>1158.1600000000001</v>
      </c>
      <c r="AD727" s="2">
        <f>ROUND(SUMIF(AA699:AA725,"=1471531721",Q699:Q725),2)</f>
        <v>733.14</v>
      </c>
      <c r="AE727" s="2">
        <f>ROUND(SUMIF(AA699:AA725,"=1471531721",R699:R725),2)</f>
        <v>462.67</v>
      </c>
      <c r="AF727" s="2">
        <f>ROUND(SUMIF(AA699:AA725,"=1471531721",S699:S725),2)</f>
        <v>95300.06</v>
      </c>
      <c r="AG727" s="2">
        <f>ROUND(SUMIF(AA699:AA725,"=1471531721",T699:T725),2)</f>
        <v>0</v>
      </c>
      <c r="AH727" s="2">
        <f>SUMIF(AA699:AA725,"=1471531721",U699:U725)</f>
        <v>156.84</v>
      </c>
      <c r="AI727" s="2">
        <f>SUMIF(AA699:AA725,"=1471531721",V699:V725)</f>
        <v>0</v>
      </c>
      <c r="AJ727" s="2">
        <f>ROUND(SUMIF(AA699:AA725,"=1471531721",W699:W725),2)</f>
        <v>0</v>
      </c>
      <c r="AK727" s="2">
        <f>ROUND(SUMIF(AA699:AA725,"=1471531721",X699:X725),2)</f>
        <v>66710.05</v>
      </c>
      <c r="AL727" s="2">
        <f>ROUND(SUMIF(AA699:AA725,"=1471531721",Y699:Y725),2)</f>
        <v>9530.02</v>
      </c>
      <c r="AM727" s="2"/>
      <c r="AN727" s="2"/>
      <c r="AO727" s="2">
        <f t="shared" ref="AO727:BD727" si="582">ROUND(BX727,2)</f>
        <v>0</v>
      </c>
      <c r="AP727" s="2">
        <f t="shared" si="582"/>
        <v>0</v>
      </c>
      <c r="AQ727" s="2">
        <f t="shared" si="582"/>
        <v>0</v>
      </c>
      <c r="AR727" s="2">
        <f t="shared" si="582"/>
        <v>173931.11</v>
      </c>
      <c r="AS727" s="2">
        <f t="shared" si="582"/>
        <v>0</v>
      </c>
      <c r="AT727" s="2">
        <f t="shared" si="582"/>
        <v>0</v>
      </c>
      <c r="AU727" s="2">
        <f t="shared" si="582"/>
        <v>173931.11</v>
      </c>
      <c r="AV727" s="2">
        <f t="shared" si="582"/>
        <v>1158.1600000000001</v>
      </c>
      <c r="AW727" s="2">
        <f t="shared" si="582"/>
        <v>1158.1600000000001</v>
      </c>
      <c r="AX727" s="2">
        <f t="shared" si="582"/>
        <v>0</v>
      </c>
      <c r="AY727" s="2">
        <f t="shared" si="582"/>
        <v>1158.1600000000001</v>
      </c>
      <c r="AZ727" s="2">
        <f t="shared" si="582"/>
        <v>0</v>
      </c>
      <c r="BA727" s="2">
        <f t="shared" si="582"/>
        <v>0</v>
      </c>
      <c r="BB727" s="2">
        <f t="shared" si="582"/>
        <v>0</v>
      </c>
      <c r="BC727" s="2">
        <f t="shared" si="582"/>
        <v>0</v>
      </c>
      <c r="BD727" s="2">
        <f t="shared" si="582"/>
        <v>0</v>
      </c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>
        <f>ROUND(SUMIF(AA699:AA725,"=1471531721",FQ699:FQ725),2)</f>
        <v>0</v>
      </c>
      <c r="BY727" s="2">
        <f>ROUND(SUMIF(AA699:AA725,"=1471531721",FR699:FR725),2)</f>
        <v>0</v>
      </c>
      <c r="BZ727" s="2">
        <f>ROUND(SUMIF(AA699:AA725,"=1471531721",GL699:GL725),2)</f>
        <v>0</v>
      </c>
      <c r="CA727" s="2">
        <f>ROUND(SUMIF(AA699:AA725,"=1471531721",GM699:GM725),2)</f>
        <v>173931.11</v>
      </c>
      <c r="CB727" s="2">
        <f>ROUND(SUMIF(AA699:AA725,"=1471531721",GN699:GN725),2)</f>
        <v>0</v>
      </c>
      <c r="CC727" s="2">
        <f>ROUND(SUMIF(AA699:AA725,"=1471531721",GO699:GO725),2)</f>
        <v>0</v>
      </c>
      <c r="CD727" s="2">
        <f>ROUND(SUMIF(AA699:AA725,"=1471531721",GP699:GP725),2)</f>
        <v>173931.11</v>
      </c>
      <c r="CE727" s="2">
        <f>AC727-BX727</f>
        <v>1158.1600000000001</v>
      </c>
      <c r="CF727" s="2">
        <f>AC727-BY727</f>
        <v>1158.1600000000001</v>
      </c>
      <c r="CG727" s="2">
        <f>BX727-BZ727</f>
        <v>0</v>
      </c>
      <c r="CH727" s="2">
        <f>AC727-BX727-BY727+BZ727</f>
        <v>1158.1600000000001</v>
      </c>
      <c r="CI727" s="2">
        <f>BY727-BZ727</f>
        <v>0</v>
      </c>
      <c r="CJ727" s="2">
        <f>ROUND(SUMIF(AA699:AA725,"=1471531721",GX699:GX725),2)</f>
        <v>0</v>
      </c>
      <c r="CK727" s="2">
        <f>ROUND(SUMIF(AA699:AA725,"=1471531721",GY699:GY725),2)</f>
        <v>0</v>
      </c>
      <c r="CL727" s="2">
        <f>ROUND(SUMIF(AA699:AA725,"=1471531721",GZ699:GZ725),2)</f>
        <v>0</v>
      </c>
      <c r="CM727" s="2">
        <f>ROUND(SUMIF(AA699:AA725,"=1471531721",HD699:HD725),2)</f>
        <v>0</v>
      </c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3"/>
      <c r="DH727" s="3"/>
      <c r="DI727" s="3"/>
      <c r="DJ727" s="3"/>
      <c r="DK727" s="3"/>
      <c r="DL727" s="3"/>
      <c r="DM727" s="3"/>
      <c r="DN727" s="3"/>
      <c r="DO727" s="3"/>
      <c r="DP727" s="3"/>
      <c r="DQ727" s="3"/>
      <c r="DR727" s="3"/>
      <c r="DS727" s="3"/>
      <c r="DT727" s="3"/>
      <c r="DU727" s="3"/>
      <c r="DV727" s="3"/>
      <c r="DW727" s="3"/>
      <c r="DX727" s="3"/>
      <c r="DY727" s="3"/>
      <c r="DZ727" s="3"/>
      <c r="EA727" s="3"/>
      <c r="EB727" s="3"/>
      <c r="EC727" s="3"/>
      <c r="ED727" s="3"/>
      <c r="EE727" s="3"/>
      <c r="EF727" s="3"/>
      <c r="EG727" s="3"/>
      <c r="EH727" s="3"/>
      <c r="EI727" s="3"/>
      <c r="EJ727" s="3"/>
      <c r="EK727" s="3"/>
      <c r="EL727" s="3"/>
      <c r="EM727" s="3"/>
      <c r="EN727" s="3"/>
      <c r="EO727" s="3"/>
      <c r="EP727" s="3"/>
      <c r="EQ727" s="3"/>
      <c r="ER727" s="3"/>
      <c r="ES727" s="3"/>
      <c r="ET727" s="3"/>
      <c r="EU727" s="3"/>
      <c r="EV727" s="3"/>
      <c r="EW727" s="3"/>
      <c r="EX727" s="3"/>
      <c r="EY727" s="3"/>
      <c r="EZ727" s="3"/>
      <c r="FA727" s="3"/>
      <c r="FB727" s="3"/>
      <c r="FC727" s="3"/>
      <c r="FD727" s="3"/>
      <c r="FE727" s="3"/>
      <c r="FF727" s="3"/>
      <c r="FG727" s="3"/>
      <c r="FH727" s="3"/>
      <c r="FI727" s="3"/>
      <c r="FJ727" s="3"/>
      <c r="FK727" s="3"/>
      <c r="FL727" s="3"/>
      <c r="FM727" s="3"/>
      <c r="FN727" s="3"/>
      <c r="FO727" s="3"/>
      <c r="FP727" s="3"/>
      <c r="FQ727" s="3"/>
      <c r="FR727" s="3"/>
      <c r="FS727" s="3"/>
      <c r="FT727" s="3"/>
      <c r="FU727" s="3"/>
      <c r="FV727" s="3"/>
      <c r="FW727" s="3"/>
      <c r="FX727" s="3"/>
      <c r="FY727" s="3"/>
      <c r="FZ727" s="3"/>
      <c r="GA727" s="3"/>
      <c r="GB727" s="3"/>
      <c r="GC727" s="3"/>
      <c r="GD727" s="3"/>
      <c r="GE727" s="3"/>
      <c r="GF727" s="3"/>
      <c r="GG727" s="3"/>
      <c r="GH727" s="3"/>
      <c r="GI727" s="3"/>
      <c r="GJ727" s="3"/>
      <c r="GK727" s="3"/>
      <c r="GL727" s="3"/>
      <c r="GM727" s="3"/>
      <c r="GN727" s="3"/>
      <c r="GO727" s="3"/>
      <c r="GP727" s="3"/>
      <c r="GQ727" s="3"/>
      <c r="GR727" s="3"/>
      <c r="GS727" s="3"/>
      <c r="GT727" s="3"/>
      <c r="GU727" s="3"/>
      <c r="GV727" s="3"/>
      <c r="GW727" s="3"/>
      <c r="GX727" s="3">
        <v>0</v>
      </c>
    </row>
    <row r="729" spans="1:245" x14ac:dyDescent="0.2">
      <c r="A729" s="4">
        <v>50</v>
      </c>
      <c r="B729" s="4">
        <v>0</v>
      </c>
      <c r="C729" s="4">
        <v>0</v>
      </c>
      <c r="D729" s="4">
        <v>1</v>
      </c>
      <c r="E729" s="4">
        <v>201</v>
      </c>
      <c r="F729" s="4">
        <f>ROUND(Source!O727,O729)</f>
        <v>97191.360000000001</v>
      </c>
      <c r="G729" s="4" t="s">
        <v>86</v>
      </c>
      <c r="H729" s="4" t="s">
        <v>87</v>
      </c>
      <c r="I729" s="4"/>
      <c r="J729" s="4"/>
      <c r="K729" s="4">
        <v>201</v>
      </c>
      <c r="L729" s="4">
        <v>1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537.58000000000004</v>
      </c>
      <c r="X729" s="4">
        <v>1</v>
      </c>
      <c r="Y729" s="4">
        <v>537.58000000000004</v>
      </c>
      <c r="Z729" s="4"/>
      <c r="AA729" s="4"/>
      <c r="AB729" s="4"/>
    </row>
    <row r="730" spans="1:245" x14ac:dyDescent="0.2">
      <c r="A730" s="4">
        <v>50</v>
      </c>
      <c r="B730" s="4">
        <v>0</v>
      </c>
      <c r="C730" s="4">
        <v>0</v>
      </c>
      <c r="D730" s="4">
        <v>1</v>
      </c>
      <c r="E730" s="4">
        <v>202</v>
      </c>
      <c r="F730" s="4">
        <f>ROUND(Source!P727,O730)</f>
        <v>1158.1600000000001</v>
      </c>
      <c r="G730" s="4" t="s">
        <v>88</v>
      </c>
      <c r="H730" s="4" t="s">
        <v>89</v>
      </c>
      <c r="I730" s="4"/>
      <c r="J730" s="4"/>
      <c r="K730" s="4">
        <v>202</v>
      </c>
      <c r="L730" s="4">
        <v>2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2.2599999999999998</v>
      </c>
      <c r="X730" s="4">
        <v>1</v>
      </c>
      <c r="Y730" s="4">
        <v>2.2599999999999998</v>
      </c>
      <c r="Z730" s="4"/>
      <c r="AA730" s="4"/>
      <c r="AB730" s="4"/>
    </row>
    <row r="731" spans="1:245" x14ac:dyDescent="0.2">
      <c r="A731" s="4">
        <v>50</v>
      </c>
      <c r="B731" s="4">
        <v>0</v>
      </c>
      <c r="C731" s="4">
        <v>0</v>
      </c>
      <c r="D731" s="4">
        <v>1</v>
      </c>
      <c r="E731" s="4">
        <v>222</v>
      </c>
      <c r="F731" s="4">
        <f>ROUND(Source!AO727,O731)</f>
        <v>0</v>
      </c>
      <c r="G731" s="4" t="s">
        <v>90</v>
      </c>
      <c r="H731" s="4" t="s">
        <v>91</v>
      </c>
      <c r="I731" s="4"/>
      <c r="J731" s="4"/>
      <c r="K731" s="4">
        <v>222</v>
      </c>
      <c r="L731" s="4">
        <v>3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0</v>
      </c>
      <c r="X731" s="4">
        <v>1</v>
      </c>
      <c r="Y731" s="4">
        <v>0</v>
      </c>
      <c r="Z731" s="4"/>
      <c r="AA731" s="4"/>
      <c r="AB731" s="4"/>
    </row>
    <row r="732" spans="1:245" x14ac:dyDescent="0.2">
      <c r="A732" s="4">
        <v>50</v>
      </c>
      <c r="B732" s="4">
        <v>0</v>
      </c>
      <c r="C732" s="4">
        <v>0</v>
      </c>
      <c r="D732" s="4">
        <v>1</v>
      </c>
      <c r="E732" s="4">
        <v>225</v>
      </c>
      <c r="F732" s="4">
        <f>ROUND(Source!AV727,O732)</f>
        <v>1158.1600000000001</v>
      </c>
      <c r="G732" s="4" t="s">
        <v>92</v>
      </c>
      <c r="H732" s="4" t="s">
        <v>93</v>
      </c>
      <c r="I732" s="4"/>
      <c r="J732" s="4"/>
      <c r="K732" s="4">
        <v>225</v>
      </c>
      <c r="L732" s="4">
        <v>4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2.2599999999999998</v>
      </c>
      <c r="X732" s="4">
        <v>1</v>
      </c>
      <c r="Y732" s="4">
        <v>2.2599999999999998</v>
      </c>
      <c r="Z732" s="4"/>
      <c r="AA732" s="4"/>
      <c r="AB732" s="4"/>
    </row>
    <row r="733" spans="1:245" x14ac:dyDescent="0.2">
      <c r="A733" s="4">
        <v>50</v>
      </c>
      <c r="B733" s="4">
        <v>0</v>
      </c>
      <c r="C733" s="4">
        <v>0</v>
      </c>
      <c r="D733" s="4">
        <v>1</v>
      </c>
      <c r="E733" s="4">
        <v>226</v>
      </c>
      <c r="F733" s="4">
        <f>ROUND(Source!AW727,O733)</f>
        <v>1158.1600000000001</v>
      </c>
      <c r="G733" s="4" t="s">
        <v>94</v>
      </c>
      <c r="H733" s="4" t="s">
        <v>95</v>
      </c>
      <c r="I733" s="4"/>
      <c r="J733" s="4"/>
      <c r="K733" s="4">
        <v>226</v>
      </c>
      <c r="L733" s="4">
        <v>5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2.2599999999999998</v>
      </c>
      <c r="X733" s="4">
        <v>1</v>
      </c>
      <c r="Y733" s="4">
        <v>2.2599999999999998</v>
      </c>
      <c r="Z733" s="4"/>
      <c r="AA733" s="4"/>
      <c r="AB733" s="4"/>
    </row>
    <row r="734" spans="1:245" x14ac:dyDescent="0.2">
      <c r="A734" s="4">
        <v>50</v>
      </c>
      <c r="B734" s="4">
        <v>0</v>
      </c>
      <c r="C734" s="4">
        <v>0</v>
      </c>
      <c r="D734" s="4">
        <v>1</v>
      </c>
      <c r="E734" s="4">
        <v>227</v>
      </c>
      <c r="F734" s="4">
        <f>ROUND(Source!AX727,O734)</f>
        <v>0</v>
      </c>
      <c r="G734" s="4" t="s">
        <v>96</v>
      </c>
      <c r="H734" s="4" t="s">
        <v>97</v>
      </c>
      <c r="I734" s="4"/>
      <c r="J734" s="4"/>
      <c r="K734" s="4">
        <v>227</v>
      </c>
      <c r="L734" s="4">
        <v>6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45" x14ac:dyDescent="0.2">
      <c r="A735" s="4">
        <v>50</v>
      </c>
      <c r="B735" s="4">
        <v>0</v>
      </c>
      <c r="C735" s="4">
        <v>0</v>
      </c>
      <c r="D735" s="4">
        <v>1</v>
      </c>
      <c r="E735" s="4">
        <v>228</v>
      </c>
      <c r="F735" s="4">
        <f>ROUND(Source!AY727,O735)</f>
        <v>1158.1600000000001</v>
      </c>
      <c r="G735" s="4" t="s">
        <v>98</v>
      </c>
      <c r="H735" s="4" t="s">
        <v>99</v>
      </c>
      <c r="I735" s="4"/>
      <c r="J735" s="4"/>
      <c r="K735" s="4">
        <v>228</v>
      </c>
      <c r="L735" s="4">
        <v>7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2.2599999999999998</v>
      </c>
      <c r="X735" s="4">
        <v>1</v>
      </c>
      <c r="Y735" s="4">
        <v>2.2599999999999998</v>
      </c>
      <c r="Z735" s="4"/>
      <c r="AA735" s="4"/>
      <c r="AB735" s="4"/>
    </row>
    <row r="736" spans="1:245" x14ac:dyDescent="0.2">
      <c r="A736" s="4">
        <v>50</v>
      </c>
      <c r="B736" s="4">
        <v>0</v>
      </c>
      <c r="C736" s="4">
        <v>0</v>
      </c>
      <c r="D736" s="4">
        <v>1</v>
      </c>
      <c r="E736" s="4">
        <v>216</v>
      </c>
      <c r="F736" s="4">
        <f>ROUND(Source!AP727,O736)</f>
        <v>0</v>
      </c>
      <c r="G736" s="4" t="s">
        <v>100</v>
      </c>
      <c r="H736" s="4" t="s">
        <v>101</v>
      </c>
      <c r="I736" s="4"/>
      <c r="J736" s="4"/>
      <c r="K736" s="4">
        <v>216</v>
      </c>
      <c r="L736" s="4">
        <v>8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223</v>
      </c>
      <c r="F737" s="4">
        <f>ROUND(Source!AQ727,O737)</f>
        <v>0</v>
      </c>
      <c r="G737" s="4" t="s">
        <v>102</v>
      </c>
      <c r="H737" s="4" t="s">
        <v>103</v>
      </c>
      <c r="I737" s="4"/>
      <c r="J737" s="4"/>
      <c r="K737" s="4">
        <v>223</v>
      </c>
      <c r="L737" s="4">
        <v>9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229</v>
      </c>
      <c r="F738" s="4">
        <f>ROUND(Source!AZ727,O738)</f>
        <v>0</v>
      </c>
      <c r="G738" s="4" t="s">
        <v>104</v>
      </c>
      <c r="H738" s="4" t="s">
        <v>105</v>
      </c>
      <c r="I738" s="4"/>
      <c r="J738" s="4"/>
      <c r="K738" s="4">
        <v>229</v>
      </c>
      <c r="L738" s="4">
        <v>10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203</v>
      </c>
      <c r="F739" s="4">
        <f>ROUND(Source!Q727,O739)</f>
        <v>733.14</v>
      </c>
      <c r="G739" s="4" t="s">
        <v>106</v>
      </c>
      <c r="H739" s="4" t="s">
        <v>107</v>
      </c>
      <c r="I739" s="4"/>
      <c r="J739" s="4"/>
      <c r="K739" s="4">
        <v>203</v>
      </c>
      <c r="L739" s="4">
        <v>11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231</v>
      </c>
      <c r="F740" s="4">
        <f>ROUND(Source!BB727,O740)</f>
        <v>0</v>
      </c>
      <c r="G740" s="4" t="s">
        <v>108</v>
      </c>
      <c r="H740" s="4" t="s">
        <v>109</v>
      </c>
      <c r="I740" s="4"/>
      <c r="J740" s="4"/>
      <c r="K740" s="4">
        <v>231</v>
      </c>
      <c r="L740" s="4">
        <v>12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204</v>
      </c>
      <c r="F741" s="4">
        <f>ROUND(Source!R727,O741)</f>
        <v>462.67</v>
      </c>
      <c r="G741" s="4" t="s">
        <v>110</v>
      </c>
      <c r="H741" s="4" t="s">
        <v>111</v>
      </c>
      <c r="I741" s="4"/>
      <c r="J741" s="4"/>
      <c r="K741" s="4">
        <v>204</v>
      </c>
      <c r="L741" s="4">
        <v>13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205</v>
      </c>
      <c r="F742" s="4">
        <f>ROUND(Source!S727,O742)</f>
        <v>95300.06</v>
      </c>
      <c r="G742" s="4" t="s">
        <v>112</v>
      </c>
      <c r="H742" s="4" t="s">
        <v>113</v>
      </c>
      <c r="I742" s="4"/>
      <c r="J742" s="4"/>
      <c r="K742" s="4">
        <v>205</v>
      </c>
      <c r="L742" s="4">
        <v>14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535.32000000000005</v>
      </c>
      <c r="X742" s="4">
        <v>1</v>
      </c>
      <c r="Y742" s="4">
        <v>535.32000000000005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232</v>
      </c>
      <c r="F743" s="4">
        <f>ROUND(Source!BC727,O743)</f>
        <v>0</v>
      </c>
      <c r="G743" s="4" t="s">
        <v>114</v>
      </c>
      <c r="H743" s="4" t="s">
        <v>115</v>
      </c>
      <c r="I743" s="4"/>
      <c r="J743" s="4"/>
      <c r="K743" s="4">
        <v>232</v>
      </c>
      <c r="L743" s="4">
        <v>15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214</v>
      </c>
      <c r="F744" s="4">
        <f>ROUND(Source!AS727,O744)</f>
        <v>0</v>
      </c>
      <c r="G744" s="4" t="s">
        <v>116</v>
      </c>
      <c r="H744" s="4" t="s">
        <v>117</v>
      </c>
      <c r="I744" s="4"/>
      <c r="J744" s="4"/>
      <c r="K744" s="4">
        <v>214</v>
      </c>
      <c r="L744" s="4">
        <v>16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215</v>
      </c>
      <c r="F745" s="4">
        <f>ROUND(Source!AT727,O745)</f>
        <v>0</v>
      </c>
      <c r="G745" s="4" t="s">
        <v>118</v>
      </c>
      <c r="H745" s="4" t="s">
        <v>119</v>
      </c>
      <c r="I745" s="4"/>
      <c r="J745" s="4"/>
      <c r="K745" s="4">
        <v>215</v>
      </c>
      <c r="L745" s="4">
        <v>17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0</v>
      </c>
      <c r="X745" s="4">
        <v>1</v>
      </c>
      <c r="Y745" s="4">
        <v>0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217</v>
      </c>
      <c r="F746" s="4">
        <f>ROUND(Source!AU727,O746)</f>
        <v>173931.11</v>
      </c>
      <c r="G746" s="4" t="s">
        <v>120</v>
      </c>
      <c r="H746" s="4" t="s">
        <v>121</v>
      </c>
      <c r="I746" s="4"/>
      <c r="J746" s="4"/>
      <c r="K746" s="4">
        <v>217</v>
      </c>
      <c r="L746" s="4">
        <v>18</v>
      </c>
      <c r="M746" s="4">
        <v>3</v>
      </c>
      <c r="N746" s="4" t="s">
        <v>3</v>
      </c>
      <c r="O746" s="4">
        <v>2</v>
      </c>
      <c r="P746" s="4"/>
      <c r="Q746" s="4"/>
      <c r="R746" s="4"/>
      <c r="S746" s="4"/>
      <c r="T746" s="4"/>
      <c r="U746" s="4"/>
      <c r="V746" s="4"/>
      <c r="W746" s="4">
        <v>965.83</v>
      </c>
      <c r="X746" s="4">
        <v>1</v>
      </c>
      <c r="Y746" s="4">
        <v>965.83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230</v>
      </c>
      <c r="F747" s="4">
        <f>ROUND(Source!BA727,O747)</f>
        <v>0</v>
      </c>
      <c r="G747" s="4" t="s">
        <v>122</v>
      </c>
      <c r="H747" s="4" t="s">
        <v>123</v>
      </c>
      <c r="I747" s="4"/>
      <c r="J747" s="4"/>
      <c r="K747" s="4">
        <v>230</v>
      </c>
      <c r="L747" s="4">
        <v>19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206</v>
      </c>
      <c r="F748" s="4">
        <f>ROUND(Source!T727,O748)</f>
        <v>0</v>
      </c>
      <c r="G748" s="4" t="s">
        <v>124</v>
      </c>
      <c r="H748" s="4" t="s">
        <v>125</v>
      </c>
      <c r="I748" s="4"/>
      <c r="J748" s="4"/>
      <c r="K748" s="4">
        <v>206</v>
      </c>
      <c r="L748" s="4">
        <v>20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207</v>
      </c>
      <c r="F749" s="4">
        <f>Source!U727</f>
        <v>156.84</v>
      </c>
      <c r="G749" s="4" t="s">
        <v>126</v>
      </c>
      <c r="H749" s="4" t="s">
        <v>127</v>
      </c>
      <c r="I749" s="4"/>
      <c r="J749" s="4"/>
      <c r="K749" s="4">
        <v>207</v>
      </c>
      <c r="L749" s="4">
        <v>21</v>
      </c>
      <c r="M749" s="4">
        <v>3</v>
      </c>
      <c r="N749" s="4" t="s">
        <v>3</v>
      </c>
      <c r="O749" s="4">
        <v>-1</v>
      </c>
      <c r="P749" s="4"/>
      <c r="Q749" s="4"/>
      <c r="R749" s="4"/>
      <c r="S749" s="4"/>
      <c r="T749" s="4"/>
      <c r="U749" s="4"/>
      <c r="V749" s="4"/>
      <c r="W749" s="4">
        <v>1</v>
      </c>
      <c r="X749" s="4">
        <v>1</v>
      </c>
      <c r="Y749" s="4">
        <v>1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208</v>
      </c>
      <c r="F750" s="4">
        <f>Source!V727</f>
        <v>0</v>
      </c>
      <c r="G750" s="4" t="s">
        <v>128</v>
      </c>
      <c r="H750" s="4" t="s">
        <v>129</v>
      </c>
      <c r="I750" s="4"/>
      <c r="J750" s="4"/>
      <c r="K750" s="4">
        <v>208</v>
      </c>
      <c r="L750" s="4">
        <v>22</v>
      </c>
      <c r="M750" s="4">
        <v>3</v>
      </c>
      <c r="N750" s="4" t="s">
        <v>3</v>
      </c>
      <c r="O750" s="4">
        <v>-1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209</v>
      </c>
      <c r="F751" s="4">
        <f>ROUND(Source!W727,O751)</f>
        <v>0</v>
      </c>
      <c r="G751" s="4" t="s">
        <v>130</v>
      </c>
      <c r="H751" s="4" t="s">
        <v>131</v>
      </c>
      <c r="I751" s="4"/>
      <c r="J751" s="4"/>
      <c r="K751" s="4">
        <v>209</v>
      </c>
      <c r="L751" s="4">
        <v>23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0</v>
      </c>
      <c r="X751" s="4">
        <v>1</v>
      </c>
      <c r="Y751" s="4">
        <v>0</v>
      </c>
      <c r="Z751" s="4"/>
      <c r="AA751" s="4"/>
      <c r="AB751" s="4"/>
    </row>
    <row r="752" spans="1:28" x14ac:dyDescent="0.2">
      <c r="A752" s="4">
        <v>50</v>
      </c>
      <c r="B752" s="4">
        <v>0</v>
      </c>
      <c r="C752" s="4">
        <v>0</v>
      </c>
      <c r="D752" s="4">
        <v>1</v>
      </c>
      <c r="E752" s="4">
        <v>233</v>
      </c>
      <c r="F752" s="4">
        <f>ROUND(Source!BD727,O752)</f>
        <v>0</v>
      </c>
      <c r="G752" s="4" t="s">
        <v>132</v>
      </c>
      <c r="H752" s="4" t="s">
        <v>133</v>
      </c>
      <c r="I752" s="4"/>
      <c r="J752" s="4"/>
      <c r="K752" s="4">
        <v>233</v>
      </c>
      <c r="L752" s="4">
        <v>24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0</v>
      </c>
      <c r="X752" s="4">
        <v>1</v>
      </c>
      <c r="Y752" s="4">
        <v>0</v>
      </c>
      <c r="Z752" s="4"/>
      <c r="AA752" s="4"/>
      <c r="AB752" s="4"/>
    </row>
    <row r="753" spans="1:206" x14ac:dyDescent="0.2">
      <c r="A753" s="4">
        <v>50</v>
      </c>
      <c r="B753" s="4">
        <v>0</v>
      </c>
      <c r="C753" s="4">
        <v>0</v>
      </c>
      <c r="D753" s="4">
        <v>1</v>
      </c>
      <c r="E753" s="4">
        <v>210</v>
      </c>
      <c r="F753" s="4">
        <f>ROUND(Source!X727,O753)</f>
        <v>66710.05</v>
      </c>
      <c r="G753" s="4" t="s">
        <v>134</v>
      </c>
      <c r="H753" s="4" t="s">
        <v>135</v>
      </c>
      <c r="I753" s="4"/>
      <c r="J753" s="4"/>
      <c r="K753" s="4">
        <v>210</v>
      </c>
      <c r="L753" s="4">
        <v>25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374.72</v>
      </c>
      <c r="X753" s="4">
        <v>1</v>
      </c>
      <c r="Y753" s="4">
        <v>374.72</v>
      </c>
      <c r="Z753" s="4"/>
      <c r="AA753" s="4"/>
      <c r="AB753" s="4"/>
    </row>
    <row r="754" spans="1:206" x14ac:dyDescent="0.2">
      <c r="A754" s="4">
        <v>50</v>
      </c>
      <c r="B754" s="4">
        <v>0</v>
      </c>
      <c r="C754" s="4">
        <v>0</v>
      </c>
      <c r="D754" s="4">
        <v>1</v>
      </c>
      <c r="E754" s="4">
        <v>211</v>
      </c>
      <c r="F754" s="4">
        <f>ROUND(Source!Y727,O754)</f>
        <v>9530.02</v>
      </c>
      <c r="G754" s="4" t="s">
        <v>136</v>
      </c>
      <c r="H754" s="4" t="s">
        <v>137</v>
      </c>
      <c r="I754" s="4"/>
      <c r="J754" s="4"/>
      <c r="K754" s="4">
        <v>211</v>
      </c>
      <c r="L754" s="4">
        <v>26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53.53</v>
      </c>
      <c r="X754" s="4">
        <v>1</v>
      </c>
      <c r="Y754" s="4">
        <v>53.53</v>
      </c>
      <c r="Z754" s="4"/>
      <c r="AA754" s="4"/>
      <c r="AB754" s="4"/>
    </row>
    <row r="755" spans="1:206" x14ac:dyDescent="0.2">
      <c r="A755" s="4">
        <v>50</v>
      </c>
      <c r="B755" s="4">
        <v>0</v>
      </c>
      <c r="C755" s="4">
        <v>0</v>
      </c>
      <c r="D755" s="4">
        <v>1</v>
      </c>
      <c r="E755" s="4">
        <v>224</v>
      </c>
      <c r="F755" s="4">
        <f>ROUND(Source!AR727,O755)</f>
        <v>173931.11</v>
      </c>
      <c r="G755" s="4" t="s">
        <v>138</v>
      </c>
      <c r="H755" s="4" t="s">
        <v>139</v>
      </c>
      <c r="I755" s="4"/>
      <c r="J755" s="4"/>
      <c r="K755" s="4">
        <v>224</v>
      </c>
      <c r="L755" s="4">
        <v>27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965.83</v>
      </c>
      <c r="X755" s="4">
        <v>1</v>
      </c>
      <c r="Y755" s="4">
        <v>965.83</v>
      </c>
      <c r="Z755" s="4"/>
      <c r="AA755" s="4"/>
      <c r="AB755" s="4"/>
    </row>
    <row r="757" spans="1:206" x14ac:dyDescent="0.2">
      <c r="A757" s="2">
        <v>51</v>
      </c>
      <c r="B757" s="2">
        <f>B589</f>
        <v>1</v>
      </c>
      <c r="C757" s="2">
        <f>A589</f>
        <v>4</v>
      </c>
      <c r="D757" s="2">
        <f>ROW(A589)</f>
        <v>589</v>
      </c>
      <c r="E757" s="2"/>
      <c r="F757" s="2" t="str">
        <f>IF(F589&lt;&gt;"",F589,"")</f>
        <v>Новый раздел</v>
      </c>
      <c r="G757" s="2" t="str">
        <f>IF(G589&lt;&gt;"",G589,"")</f>
        <v>Офис-продакшн  5 шт.</v>
      </c>
      <c r="H757" s="2">
        <v>0</v>
      </c>
      <c r="I757" s="2"/>
      <c r="J757" s="2"/>
      <c r="K757" s="2"/>
      <c r="L757" s="2"/>
      <c r="M757" s="2"/>
      <c r="N757" s="2"/>
      <c r="O757" s="2">
        <f t="shared" ref="O757:T757" si="583">ROUND(O618+O665+O727+AB757,2)</f>
        <v>184276.98</v>
      </c>
      <c r="P757" s="2">
        <f t="shared" si="583"/>
        <v>30666.25</v>
      </c>
      <c r="Q757" s="2">
        <f t="shared" si="583"/>
        <v>8735.9699999999993</v>
      </c>
      <c r="R757" s="2">
        <f t="shared" si="583"/>
        <v>5438.3</v>
      </c>
      <c r="S757" s="2">
        <f t="shared" si="583"/>
        <v>144874.76</v>
      </c>
      <c r="T757" s="2">
        <f t="shared" si="583"/>
        <v>0</v>
      </c>
      <c r="U757" s="2">
        <f>U618+U665+U727+AH757</f>
        <v>234.8845</v>
      </c>
      <c r="V757" s="2">
        <f>V618+V665+V727+AI757</f>
        <v>0</v>
      </c>
      <c r="W757" s="2">
        <f>ROUND(W618+W665+W727+AJ757,2)</f>
        <v>0</v>
      </c>
      <c r="X757" s="2">
        <f>ROUND(X618+X665+X727+AK757,2)</f>
        <v>101412.36</v>
      </c>
      <c r="Y757" s="2">
        <f>ROUND(Y618+Y665+Y727+AL757,2)</f>
        <v>14487.51</v>
      </c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>
        <f t="shared" ref="AO757:BD757" si="584">ROUND(AO618+AO665+AO727+BX757,2)</f>
        <v>0</v>
      </c>
      <c r="AP757" s="2">
        <f t="shared" si="584"/>
        <v>0</v>
      </c>
      <c r="AQ757" s="2">
        <f t="shared" si="584"/>
        <v>0</v>
      </c>
      <c r="AR757" s="2">
        <f t="shared" si="584"/>
        <v>306050.21000000002</v>
      </c>
      <c r="AS757" s="2">
        <f t="shared" si="584"/>
        <v>0</v>
      </c>
      <c r="AT757" s="2">
        <f t="shared" si="584"/>
        <v>0</v>
      </c>
      <c r="AU757" s="2">
        <f t="shared" si="584"/>
        <v>306050.21000000002</v>
      </c>
      <c r="AV757" s="2">
        <f t="shared" si="584"/>
        <v>30666.25</v>
      </c>
      <c r="AW757" s="2">
        <f t="shared" si="584"/>
        <v>30666.25</v>
      </c>
      <c r="AX757" s="2">
        <f t="shared" si="584"/>
        <v>0</v>
      </c>
      <c r="AY757" s="2">
        <f t="shared" si="584"/>
        <v>30666.25</v>
      </c>
      <c r="AZ757" s="2">
        <f t="shared" si="584"/>
        <v>0</v>
      </c>
      <c r="BA757" s="2">
        <f t="shared" si="584"/>
        <v>0</v>
      </c>
      <c r="BB757" s="2">
        <f t="shared" si="584"/>
        <v>0</v>
      </c>
      <c r="BC757" s="2">
        <f t="shared" si="584"/>
        <v>0</v>
      </c>
      <c r="BD757" s="2">
        <f t="shared" si="584"/>
        <v>0</v>
      </c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  <c r="CZ757" s="2"/>
      <c r="DA757" s="2"/>
      <c r="DB757" s="2"/>
      <c r="DC757" s="2"/>
      <c r="DD757" s="2"/>
      <c r="DE757" s="2"/>
      <c r="DF757" s="2"/>
      <c r="DG757" s="3"/>
      <c r="DH757" s="3"/>
      <c r="DI757" s="3"/>
      <c r="DJ757" s="3"/>
      <c r="DK757" s="3"/>
      <c r="DL757" s="3"/>
      <c r="DM757" s="3"/>
      <c r="DN757" s="3"/>
      <c r="DO757" s="3"/>
      <c r="DP757" s="3"/>
      <c r="DQ757" s="3"/>
      <c r="DR757" s="3"/>
      <c r="DS757" s="3"/>
      <c r="DT757" s="3"/>
      <c r="DU757" s="3"/>
      <c r="DV757" s="3"/>
      <c r="DW757" s="3"/>
      <c r="DX757" s="3"/>
      <c r="DY757" s="3"/>
      <c r="DZ757" s="3"/>
      <c r="EA757" s="3"/>
      <c r="EB757" s="3"/>
      <c r="EC757" s="3"/>
      <c r="ED757" s="3"/>
      <c r="EE757" s="3"/>
      <c r="EF757" s="3"/>
      <c r="EG757" s="3"/>
      <c r="EH757" s="3"/>
      <c r="EI757" s="3"/>
      <c r="EJ757" s="3"/>
      <c r="EK757" s="3"/>
      <c r="EL757" s="3"/>
      <c r="EM757" s="3"/>
      <c r="EN757" s="3"/>
      <c r="EO757" s="3"/>
      <c r="EP757" s="3"/>
      <c r="EQ757" s="3"/>
      <c r="ER757" s="3"/>
      <c r="ES757" s="3"/>
      <c r="ET757" s="3"/>
      <c r="EU757" s="3"/>
      <c r="EV757" s="3"/>
      <c r="EW757" s="3"/>
      <c r="EX757" s="3"/>
      <c r="EY757" s="3"/>
      <c r="EZ757" s="3"/>
      <c r="FA757" s="3"/>
      <c r="FB757" s="3"/>
      <c r="FC757" s="3"/>
      <c r="FD757" s="3"/>
      <c r="FE757" s="3"/>
      <c r="FF757" s="3"/>
      <c r="FG757" s="3"/>
      <c r="FH757" s="3"/>
      <c r="FI757" s="3"/>
      <c r="FJ757" s="3"/>
      <c r="FK757" s="3"/>
      <c r="FL757" s="3"/>
      <c r="FM757" s="3"/>
      <c r="FN757" s="3"/>
      <c r="FO757" s="3"/>
      <c r="FP757" s="3"/>
      <c r="FQ757" s="3"/>
      <c r="FR757" s="3"/>
      <c r="FS757" s="3"/>
      <c r="FT757" s="3"/>
      <c r="FU757" s="3"/>
      <c r="FV757" s="3"/>
      <c r="FW757" s="3"/>
      <c r="FX757" s="3"/>
      <c r="FY757" s="3"/>
      <c r="FZ757" s="3"/>
      <c r="GA757" s="3"/>
      <c r="GB757" s="3"/>
      <c r="GC757" s="3"/>
      <c r="GD757" s="3"/>
      <c r="GE757" s="3"/>
      <c r="GF757" s="3"/>
      <c r="GG757" s="3"/>
      <c r="GH757" s="3"/>
      <c r="GI757" s="3"/>
      <c r="GJ757" s="3"/>
      <c r="GK757" s="3"/>
      <c r="GL757" s="3"/>
      <c r="GM757" s="3"/>
      <c r="GN757" s="3"/>
      <c r="GO757" s="3"/>
      <c r="GP757" s="3"/>
      <c r="GQ757" s="3"/>
      <c r="GR757" s="3"/>
      <c r="GS757" s="3"/>
      <c r="GT757" s="3"/>
      <c r="GU757" s="3"/>
      <c r="GV757" s="3"/>
      <c r="GW757" s="3"/>
      <c r="GX757" s="3">
        <v>0</v>
      </c>
    </row>
    <row r="759" spans="1:206" x14ac:dyDescent="0.2">
      <c r="A759" s="4">
        <v>50</v>
      </c>
      <c r="B759" s="4">
        <v>0</v>
      </c>
      <c r="C759" s="4">
        <v>0</v>
      </c>
      <c r="D759" s="4">
        <v>1</v>
      </c>
      <c r="E759" s="4">
        <v>201</v>
      </c>
      <c r="F759" s="4">
        <f>ROUND(Source!O757,O759)</f>
        <v>184276.98</v>
      </c>
      <c r="G759" s="4" t="s">
        <v>86</v>
      </c>
      <c r="H759" s="4" t="s">
        <v>87</v>
      </c>
      <c r="I759" s="4"/>
      <c r="J759" s="4"/>
      <c r="K759" s="4">
        <v>201</v>
      </c>
      <c r="L759" s="4">
        <v>1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114373.58</v>
      </c>
      <c r="X759" s="4">
        <v>1</v>
      </c>
      <c r="Y759" s="4">
        <v>114373.58</v>
      </c>
      <c r="Z759" s="4"/>
      <c r="AA759" s="4"/>
      <c r="AB759" s="4"/>
    </row>
    <row r="760" spans="1:206" x14ac:dyDescent="0.2">
      <c r="A760" s="4">
        <v>50</v>
      </c>
      <c r="B760" s="4">
        <v>0</v>
      </c>
      <c r="C760" s="4">
        <v>0</v>
      </c>
      <c r="D760" s="4">
        <v>1</v>
      </c>
      <c r="E760" s="4">
        <v>202</v>
      </c>
      <c r="F760" s="4">
        <f>ROUND(Source!P757,O760)</f>
        <v>30666.25</v>
      </c>
      <c r="G760" s="4" t="s">
        <v>88</v>
      </c>
      <c r="H760" s="4" t="s">
        <v>89</v>
      </c>
      <c r="I760" s="4"/>
      <c r="J760" s="4"/>
      <c r="K760" s="4">
        <v>202</v>
      </c>
      <c r="L760" s="4">
        <v>2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1178.74</v>
      </c>
      <c r="X760" s="4">
        <v>1</v>
      </c>
      <c r="Y760" s="4">
        <v>1178.74</v>
      </c>
      <c r="Z760" s="4"/>
      <c r="AA760" s="4"/>
      <c r="AB760" s="4"/>
    </row>
    <row r="761" spans="1:206" x14ac:dyDescent="0.2">
      <c r="A761" s="4">
        <v>50</v>
      </c>
      <c r="B761" s="4">
        <v>0</v>
      </c>
      <c r="C761" s="4">
        <v>0</v>
      </c>
      <c r="D761" s="4">
        <v>1</v>
      </c>
      <c r="E761" s="4">
        <v>222</v>
      </c>
      <c r="F761" s="4">
        <f>ROUND(Source!AO757,O761)</f>
        <v>0</v>
      </c>
      <c r="G761" s="4" t="s">
        <v>90</v>
      </c>
      <c r="H761" s="4" t="s">
        <v>91</v>
      </c>
      <c r="I761" s="4"/>
      <c r="J761" s="4"/>
      <c r="K761" s="4">
        <v>222</v>
      </c>
      <c r="L761" s="4">
        <v>3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0</v>
      </c>
      <c r="X761" s="4">
        <v>1</v>
      </c>
      <c r="Y761" s="4">
        <v>0</v>
      </c>
      <c r="Z761" s="4"/>
      <c r="AA761" s="4"/>
      <c r="AB761" s="4"/>
    </row>
    <row r="762" spans="1:206" x14ac:dyDescent="0.2">
      <c r="A762" s="4">
        <v>50</v>
      </c>
      <c r="B762" s="4">
        <v>0</v>
      </c>
      <c r="C762" s="4">
        <v>0</v>
      </c>
      <c r="D762" s="4">
        <v>1</v>
      </c>
      <c r="E762" s="4">
        <v>225</v>
      </c>
      <c r="F762" s="4">
        <f>ROUND(Source!AV757,O762)</f>
        <v>30666.25</v>
      </c>
      <c r="G762" s="4" t="s">
        <v>92</v>
      </c>
      <c r="H762" s="4" t="s">
        <v>93</v>
      </c>
      <c r="I762" s="4"/>
      <c r="J762" s="4"/>
      <c r="K762" s="4">
        <v>225</v>
      </c>
      <c r="L762" s="4">
        <v>4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1178.74</v>
      </c>
      <c r="X762" s="4">
        <v>1</v>
      </c>
      <c r="Y762" s="4">
        <v>1178.74</v>
      </c>
      <c r="Z762" s="4"/>
      <c r="AA762" s="4"/>
      <c r="AB762" s="4"/>
    </row>
    <row r="763" spans="1:206" x14ac:dyDescent="0.2">
      <c r="A763" s="4">
        <v>50</v>
      </c>
      <c r="B763" s="4">
        <v>0</v>
      </c>
      <c r="C763" s="4">
        <v>0</v>
      </c>
      <c r="D763" s="4">
        <v>1</v>
      </c>
      <c r="E763" s="4">
        <v>226</v>
      </c>
      <c r="F763" s="4">
        <f>ROUND(Source!AW757,O763)</f>
        <v>30666.25</v>
      </c>
      <c r="G763" s="4" t="s">
        <v>94</v>
      </c>
      <c r="H763" s="4" t="s">
        <v>95</v>
      </c>
      <c r="I763" s="4"/>
      <c r="J763" s="4"/>
      <c r="K763" s="4">
        <v>226</v>
      </c>
      <c r="L763" s="4">
        <v>5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1178.74</v>
      </c>
      <c r="X763" s="4">
        <v>1</v>
      </c>
      <c r="Y763" s="4">
        <v>1178.74</v>
      </c>
      <c r="Z763" s="4"/>
      <c r="AA763" s="4"/>
      <c r="AB763" s="4"/>
    </row>
    <row r="764" spans="1:206" x14ac:dyDescent="0.2">
      <c r="A764" s="4">
        <v>50</v>
      </c>
      <c r="B764" s="4">
        <v>0</v>
      </c>
      <c r="C764" s="4">
        <v>0</v>
      </c>
      <c r="D764" s="4">
        <v>1</v>
      </c>
      <c r="E764" s="4">
        <v>227</v>
      </c>
      <c r="F764" s="4">
        <f>ROUND(Source!AX757,O764)</f>
        <v>0</v>
      </c>
      <c r="G764" s="4" t="s">
        <v>96</v>
      </c>
      <c r="H764" s="4" t="s">
        <v>97</v>
      </c>
      <c r="I764" s="4"/>
      <c r="J764" s="4"/>
      <c r="K764" s="4">
        <v>227</v>
      </c>
      <c r="L764" s="4">
        <v>6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06" x14ac:dyDescent="0.2">
      <c r="A765" s="4">
        <v>50</v>
      </c>
      <c r="B765" s="4">
        <v>0</v>
      </c>
      <c r="C765" s="4">
        <v>0</v>
      </c>
      <c r="D765" s="4">
        <v>1</v>
      </c>
      <c r="E765" s="4">
        <v>228</v>
      </c>
      <c r="F765" s="4">
        <f>ROUND(Source!AY757,O765)</f>
        <v>30666.25</v>
      </c>
      <c r="G765" s="4" t="s">
        <v>98</v>
      </c>
      <c r="H765" s="4" t="s">
        <v>99</v>
      </c>
      <c r="I765" s="4"/>
      <c r="J765" s="4"/>
      <c r="K765" s="4">
        <v>228</v>
      </c>
      <c r="L765" s="4">
        <v>7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1178.74</v>
      </c>
      <c r="X765" s="4">
        <v>1</v>
      </c>
      <c r="Y765" s="4">
        <v>1178.74</v>
      </c>
      <c r="Z765" s="4"/>
      <c r="AA765" s="4"/>
      <c r="AB765" s="4"/>
    </row>
    <row r="766" spans="1:206" x14ac:dyDescent="0.2">
      <c r="A766" s="4">
        <v>50</v>
      </c>
      <c r="B766" s="4">
        <v>0</v>
      </c>
      <c r="C766" s="4">
        <v>0</v>
      </c>
      <c r="D766" s="4">
        <v>1</v>
      </c>
      <c r="E766" s="4">
        <v>216</v>
      </c>
      <c r="F766" s="4">
        <f>ROUND(Source!AP757,O766)</f>
        <v>0</v>
      </c>
      <c r="G766" s="4" t="s">
        <v>100</v>
      </c>
      <c r="H766" s="4" t="s">
        <v>101</v>
      </c>
      <c r="I766" s="4"/>
      <c r="J766" s="4"/>
      <c r="K766" s="4">
        <v>216</v>
      </c>
      <c r="L766" s="4">
        <v>8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0</v>
      </c>
      <c r="X766" s="4">
        <v>1</v>
      </c>
      <c r="Y766" s="4">
        <v>0</v>
      </c>
      <c r="Z766" s="4"/>
      <c r="AA766" s="4"/>
      <c r="AB766" s="4"/>
    </row>
    <row r="767" spans="1:206" x14ac:dyDescent="0.2">
      <c r="A767" s="4">
        <v>50</v>
      </c>
      <c r="B767" s="4">
        <v>0</v>
      </c>
      <c r="C767" s="4">
        <v>0</v>
      </c>
      <c r="D767" s="4">
        <v>1</v>
      </c>
      <c r="E767" s="4">
        <v>223</v>
      </c>
      <c r="F767" s="4">
        <f>ROUND(Source!AQ757,O767)</f>
        <v>0</v>
      </c>
      <c r="G767" s="4" t="s">
        <v>102</v>
      </c>
      <c r="H767" s="4" t="s">
        <v>103</v>
      </c>
      <c r="I767" s="4"/>
      <c r="J767" s="4"/>
      <c r="K767" s="4">
        <v>223</v>
      </c>
      <c r="L767" s="4">
        <v>9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06" x14ac:dyDescent="0.2">
      <c r="A768" s="4">
        <v>50</v>
      </c>
      <c r="B768" s="4">
        <v>0</v>
      </c>
      <c r="C768" s="4">
        <v>0</v>
      </c>
      <c r="D768" s="4">
        <v>1</v>
      </c>
      <c r="E768" s="4">
        <v>229</v>
      </c>
      <c r="F768" s="4">
        <f>ROUND(Source!AZ757,O768)</f>
        <v>0</v>
      </c>
      <c r="G768" s="4" t="s">
        <v>104</v>
      </c>
      <c r="H768" s="4" t="s">
        <v>105</v>
      </c>
      <c r="I768" s="4"/>
      <c r="J768" s="4"/>
      <c r="K768" s="4">
        <v>229</v>
      </c>
      <c r="L768" s="4">
        <v>10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203</v>
      </c>
      <c r="F769" s="4">
        <f>ROUND(Source!Q757,O769)</f>
        <v>8735.9699999999993</v>
      </c>
      <c r="G769" s="4" t="s">
        <v>106</v>
      </c>
      <c r="H769" s="4" t="s">
        <v>107</v>
      </c>
      <c r="I769" s="4"/>
      <c r="J769" s="4"/>
      <c r="K769" s="4">
        <v>203</v>
      </c>
      <c r="L769" s="4">
        <v>11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1150.44</v>
      </c>
      <c r="X769" s="4">
        <v>1</v>
      </c>
      <c r="Y769" s="4">
        <v>1150.44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231</v>
      </c>
      <c r="F770" s="4">
        <f>ROUND(Source!BB757,O770)</f>
        <v>0</v>
      </c>
      <c r="G770" s="4" t="s">
        <v>108</v>
      </c>
      <c r="H770" s="4" t="s">
        <v>109</v>
      </c>
      <c r="I770" s="4"/>
      <c r="J770" s="4"/>
      <c r="K770" s="4">
        <v>231</v>
      </c>
      <c r="L770" s="4">
        <v>12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204</v>
      </c>
      <c r="F771" s="4">
        <f>ROUND(Source!R757,O771)</f>
        <v>5438.3</v>
      </c>
      <c r="G771" s="4" t="s">
        <v>110</v>
      </c>
      <c r="H771" s="4" t="s">
        <v>111</v>
      </c>
      <c r="I771" s="4"/>
      <c r="J771" s="4"/>
      <c r="K771" s="4">
        <v>204</v>
      </c>
      <c r="L771" s="4">
        <v>13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710.87</v>
      </c>
      <c r="X771" s="4">
        <v>1</v>
      </c>
      <c r="Y771" s="4">
        <v>710.87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205</v>
      </c>
      <c r="F772" s="4">
        <f>ROUND(Source!S757,O772)</f>
        <v>144874.76</v>
      </c>
      <c r="G772" s="4" t="s">
        <v>112</v>
      </c>
      <c r="H772" s="4" t="s">
        <v>113</v>
      </c>
      <c r="I772" s="4"/>
      <c r="J772" s="4"/>
      <c r="K772" s="4">
        <v>205</v>
      </c>
      <c r="L772" s="4">
        <v>14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112044.4</v>
      </c>
      <c r="X772" s="4">
        <v>1</v>
      </c>
      <c r="Y772" s="4">
        <v>112044.4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232</v>
      </c>
      <c r="F773" s="4">
        <f>ROUND(Source!BC757,O773)</f>
        <v>0</v>
      </c>
      <c r="G773" s="4" t="s">
        <v>114</v>
      </c>
      <c r="H773" s="4" t="s">
        <v>115</v>
      </c>
      <c r="I773" s="4"/>
      <c r="J773" s="4"/>
      <c r="K773" s="4">
        <v>232</v>
      </c>
      <c r="L773" s="4">
        <v>15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214</v>
      </c>
      <c r="F774" s="4">
        <f>ROUND(Source!AS757,O774)</f>
        <v>0</v>
      </c>
      <c r="G774" s="4" t="s">
        <v>116</v>
      </c>
      <c r="H774" s="4" t="s">
        <v>117</v>
      </c>
      <c r="I774" s="4"/>
      <c r="J774" s="4"/>
      <c r="K774" s="4">
        <v>214</v>
      </c>
      <c r="L774" s="4">
        <v>16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215</v>
      </c>
      <c r="F775" s="4">
        <f>ROUND(Source!AT757,O775)</f>
        <v>0</v>
      </c>
      <c r="G775" s="4" t="s">
        <v>118</v>
      </c>
      <c r="H775" s="4" t="s">
        <v>119</v>
      </c>
      <c r="I775" s="4"/>
      <c r="J775" s="4"/>
      <c r="K775" s="4">
        <v>215</v>
      </c>
      <c r="L775" s="4">
        <v>17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217</v>
      </c>
      <c r="F776" s="4">
        <f>ROUND(Source!AU757,O776)</f>
        <v>306050.21000000002</v>
      </c>
      <c r="G776" s="4" t="s">
        <v>120</v>
      </c>
      <c r="H776" s="4" t="s">
        <v>121</v>
      </c>
      <c r="I776" s="4"/>
      <c r="J776" s="4"/>
      <c r="K776" s="4">
        <v>217</v>
      </c>
      <c r="L776" s="4">
        <v>18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204776.88</v>
      </c>
      <c r="X776" s="4">
        <v>1</v>
      </c>
      <c r="Y776" s="4">
        <v>204776.88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230</v>
      </c>
      <c r="F777" s="4">
        <f>ROUND(Source!BA757,O777)</f>
        <v>0</v>
      </c>
      <c r="G777" s="4" t="s">
        <v>122</v>
      </c>
      <c r="H777" s="4" t="s">
        <v>123</v>
      </c>
      <c r="I777" s="4"/>
      <c r="J777" s="4"/>
      <c r="K777" s="4">
        <v>230</v>
      </c>
      <c r="L777" s="4">
        <v>19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206</v>
      </c>
      <c r="F778" s="4">
        <f>ROUND(Source!T757,O778)</f>
        <v>0</v>
      </c>
      <c r="G778" s="4" t="s">
        <v>124</v>
      </c>
      <c r="H778" s="4" t="s">
        <v>125</v>
      </c>
      <c r="I778" s="4"/>
      <c r="J778" s="4"/>
      <c r="K778" s="4">
        <v>206</v>
      </c>
      <c r="L778" s="4">
        <v>20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207</v>
      </c>
      <c r="F779" s="4">
        <f>Source!U757</f>
        <v>234.8845</v>
      </c>
      <c r="G779" s="4" t="s">
        <v>126</v>
      </c>
      <c r="H779" s="4" t="s">
        <v>127</v>
      </c>
      <c r="I779" s="4"/>
      <c r="J779" s="4"/>
      <c r="K779" s="4">
        <v>207</v>
      </c>
      <c r="L779" s="4">
        <v>21</v>
      </c>
      <c r="M779" s="4">
        <v>3</v>
      </c>
      <c r="N779" s="4" t="s">
        <v>3</v>
      </c>
      <c r="O779" s="4">
        <v>-1</v>
      </c>
      <c r="P779" s="4"/>
      <c r="Q779" s="4"/>
      <c r="R779" s="4"/>
      <c r="S779" s="4"/>
      <c r="T779" s="4"/>
      <c r="U779" s="4"/>
      <c r="V779" s="4"/>
      <c r="W779" s="4">
        <v>182.96600000000001</v>
      </c>
      <c r="X779" s="4">
        <v>1</v>
      </c>
      <c r="Y779" s="4">
        <v>182.96600000000001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208</v>
      </c>
      <c r="F780" s="4">
        <f>Source!V757</f>
        <v>0</v>
      </c>
      <c r="G780" s="4" t="s">
        <v>128</v>
      </c>
      <c r="H780" s="4" t="s">
        <v>129</v>
      </c>
      <c r="I780" s="4"/>
      <c r="J780" s="4"/>
      <c r="K780" s="4">
        <v>208</v>
      </c>
      <c r="L780" s="4">
        <v>22</v>
      </c>
      <c r="M780" s="4">
        <v>3</v>
      </c>
      <c r="N780" s="4" t="s">
        <v>3</v>
      </c>
      <c r="O780" s="4">
        <v>-1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209</v>
      </c>
      <c r="F781" s="4">
        <f>ROUND(Source!W757,O781)</f>
        <v>0</v>
      </c>
      <c r="G781" s="4" t="s">
        <v>130</v>
      </c>
      <c r="H781" s="4" t="s">
        <v>131</v>
      </c>
      <c r="I781" s="4"/>
      <c r="J781" s="4"/>
      <c r="K781" s="4">
        <v>209</v>
      </c>
      <c r="L781" s="4">
        <v>23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233</v>
      </c>
      <c r="F782" s="4">
        <f>ROUND(Source!BD757,O782)</f>
        <v>0</v>
      </c>
      <c r="G782" s="4" t="s">
        <v>132</v>
      </c>
      <c r="H782" s="4" t="s">
        <v>133</v>
      </c>
      <c r="I782" s="4"/>
      <c r="J782" s="4"/>
      <c r="K782" s="4">
        <v>233</v>
      </c>
      <c r="L782" s="4">
        <v>24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210</v>
      </c>
      <c r="F783" s="4">
        <f>ROUND(Source!X757,O783)</f>
        <v>101412.36</v>
      </c>
      <c r="G783" s="4" t="s">
        <v>134</v>
      </c>
      <c r="H783" s="4" t="s">
        <v>135</v>
      </c>
      <c r="I783" s="4"/>
      <c r="J783" s="4"/>
      <c r="K783" s="4">
        <v>210</v>
      </c>
      <c r="L783" s="4">
        <v>25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78431.100000000006</v>
      </c>
      <c r="X783" s="4">
        <v>1</v>
      </c>
      <c r="Y783" s="4">
        <v>78431.100000000006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211</v>
      </c>
      <c r="F784" s="4">
        <f>ROUND(Source!Y757,O784)</f>
        <v>14487.51</v>
      </c>
      <c r="G784" s="4" t="s">
        <v>136</v>
      </c>
      <c r="H784" s="4" t="s">
        <v>137</v>
      </c>
      <c r="I784" s="4"/>
      <c r="J784" s="4"/>
      <c r="K784" s="4">
        <v>211</v>
      </c>
      <c r="L784" s="4">
        <v>26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11204.46</v>
      </c>
      <c r="X784" s="4">
        <v>1</v>
      </c>
      <c r="Y784" s="4">
        <v>11204.46</v>
      </c>
      <c r="Z784" s="4"/>
      <c r="AA784" s="4"/>
      <c r="AB784" s="4"/>
    </row>
    <row r="785" spans="1:206" x14ac:dyDescent="0.2">
      <c r="A785" s="4">
        <v>50</v>
      </c>
      <c r="B785" s="4">
        <v>0</v>
      </c>
      <c r="C785" s="4">
        <v>0</v>
      </c>
      <c r="D785" s="4">
        <v>1</v>
      </c>
      <c r="E785" s="4">
        <v>224</v>
      </c>
      <c r="F785" s="4">
        <f>ROUND(Source!AR757,O785)</f>
        <v>306050.21000000002</v>
      </c>
      <c r="G785" s="4" t="s">
        <v>138</v>
      </c>
      <c r="H785" s="4" t="s">
        <v>139</v>
      </c>
      <c r="I785" s="4"/>
      <c r="J785" s="4"/>
      <c r="K785" s="4">
        <v>224</v>
      </c>
      <c r="L785" s="4">
        <v>27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204776.88</v>
      </c>
      <c r="X785" s="4">
        <v>1</v>
      </c>
      <c r="Y785" s="4">
        <v>204776.88</v>
      </c>
      <c r="Z785" s="4"/>
      <c r="AA785" s="4"/>
      <c r="AB785" s="4"/>
    </row>
    <row r="787" spans="1:206" x14ac:dyDescent="0.2">
      <c r="A787" s="2">
        <v>51</v>
      </c>
      <c r="B787" s="2">
        <f>B20</f>
        <v>1</v>
      </c>
      <c r="C787" s="2">
        <f>A20</f>
        <v>3</v>
      </c>
      <c r="D787" s="2">
        <f>ROW(A20)</f>
        <v>20</v>
      </c>
      <c r="E787" s="2"/>
      <c r="F787" s="2" t="str">
        <f>IF(F20&lt;&gt;"",F20,"")</f>
        <v/>
      </c>
      <c r="G787" s="2" t="str">
        <f>IF(G20&lt;&gt;"",G20,"")</f>
        <v>Новая локальная смета</v>
      </c>
      <c r="H787" s="2">
        <v>0</v>
      </c>
      <c r="I787" s="2"/>
      <c r="J787" s="2"/>
      <c r="K787" s="2"/>
      <c r="L787" s="2"/>
      <c r="M787" s="2"/>
      <c r="N787" s="2"/>
      <c r="O787" s="2">
        <f t="shared" ref="O787:T787" si="585">ROUND(O179+O369+O559+O757+AB787,2)</f>
        <v>1044491.17</v>
      </c>
      <c r="P787" s="2">
        <f t="shared" si="585"/>
        <v>154661.26</v>
      </c>
      <c r="Q787" s="2">
        <f t="shared" si="585"/>
        <v>50114.39</v>
      </c>
      <c r="R787" s="2">
        <f t="shared" si="585"/>
        <v>31304.959999999999</v>
      </c>
      <c r="S787" s="2">
        <f t="shared" si="585"/>
        <v>839715.52</v>
      </c>
      <c r="T787" s="2">
        <f t="shared" si="585"/>
        <v>0</v>
      </c>
      <c r="U787" s="2">
        <f>U179+U369+U559+U757+AH787</f>
        <v>1393.3289999999997</v>
      </c>
      <c r="V787" s="2">
        <f>V179+V369+V559+V757+AI787</f>
        <v>0</v>
      </c>
      <c r="W787" s="2">
        <f>ROUND(W179+W369+W559+W757+AJ787,2)</f>
        <v>0</v>
      </c>
      <c r="X787" s="2">
        <f>ROUND(X179+X369+X559+X757+AK787,2)</f>
        <v>587800.9</v>
      </c>
      <c r="Y787" s="2">
        <f>ROUND(Y179+Y369+Y559+Y757+AL787,2)</f>
        <v>83971.6</v>
      </c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>
        <f t="shared" ref="AO787:BD787" si="586">ROUND(AO179+AO369+AO559+AO757+BX787,2)</f>
        <v>0</v>
      </c>
      <c r="AP787" s="2">
        <f t="shared" si="586"/>
        <v>0</v>
      </c>
      <c r="AQ787" s="2">
        <f t="shared" si="586"/>
        <v>0</v>
      </c>
      <c r="AR787" s="2">
        <f t="shared" si="586"/>
        <v>1750072.99</v>
      </c>
      <c r="AS787" s="2">
        <f t="shared" si="586"/>
        <v>0</v>
      </c>
      <c r="AT787" s="2">
        <f t="shared" si="586"/>
        <v>0</v>
      </c>
      <c r="AU787" s="2">
        <f t="shared" si="586"/>
        <v>1750072.99</v>
      </c>
      <c r="AV787" s="2">
        <f t="shared" si="586"/>
        <v>154661.26</v>
      </c>
      <c r="AW787" s="2">
        <f t="shared" si="586"/>
        <v>154661.26</v>
      </c>
      <c r="AX787" s="2">
        <f t="shared" si="586"/>
        <v>0</v>
      </c>
      <c r="AY787" s="2">
        <f t="shared" si="586"/>
        <v>154661.26</v>
      </c>
      <c r="AZ787" s="2">
        <f t="shared" si="586"/>
        <v>0</v>
      </c>
      <c r="BA787" s="2">
        <f t="shared" si="586"/>
        <v>0</v>
      </c>
      <c r="BB787" s="2">
        <f t="shared" si="586"/>
        <v>0</v>
      </c>
      <c r="BC787" s="2">
        <f t="shared" si="586"/>
        <v>0</v>
      </c>
      <c r="BD787" s="2">
        <f t="shared" si="586"/>
        <v>0</v>
      </c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  <c r="CZ787" s="2"/>
      <c r="DA787" s="2"/>
      <c r="DB787" s="2"/>
      <c r="DC787" s="2"/>
      <c r="DD787" s="2"/>
      <c r="DE787" s="2"/>
      <c r="DF787" s="2"/>
      <c r="DG787" s="3"/>
      <c r="DH787" s="3"/>
      <c r="DI787" s="3"/>
      <c r="DJ787" s="3"/>
      <c r="DK787" s="3"/>
      <c r="DL787" s="3"/>
      <c r="DM787" s="3"/>
      <c r="DN787" s="3"/>
      <c r="DO787" s="3"/>
      <c r="DP787" s="3"/>
      <c r="DQ787" s="3"/>
      <c r="DR787" s="3"/>
      <c r="DS787" s="3"/>
      <c r="DT787" s="3"/>
      <c r="DU787" s="3"/>
      <c r="DV787" s="3"/>
      <c r="DW787" s="3"/>
      <c r="DX787" s="3"/>
      <c r="DY787" s="3"/>
      <c r="DZ787" s="3"/>
      <c r="EA787" s="3"/>
      <c r="EB787" s="3"/>
      <c r="EC787" s="3"/>
      <c r="ED787" s="3"/>
      <c r="EE787" s="3"/>
      <c r="EF787" s="3"/>
      <c r="EG787" s="3"/>
      <c r="EH787" s="3"/>
      <c r="EI787" s="3"/>
      <c r="EJ787" s="3"/>
      <c r="EK787" s="3"/>
      <c r="EL787" s="3"/>
      <c r="EM787" s="3"/>
      <c r="EN787" s="3"/>
      <c r="EO787" s="3"/>
      <c r="EP787" s="3"/>
      <c r="EQ787" s="3"/>
      <c r="ER787" s="3"/>
      <c r="ES787" s="3"/>
      <c r="ET787" s="3"/>
      <c r="EU787" s="3"/>
      <c r="EV787" s="3"/>
      <c r="EW787" s="3"/>
      <c r="EX787" s="3"/>
      <c r="EY787" s="3"/>
      <c r="EZ787" s="3"/>
      <c r="FA787" s="3"/>
      <c r="FB787" s="3"/>
      <c r="FC787" s="3"/>
      <c r="FD787" s="3"/>
      <c r="FE787" s="3"/>
      <c r="FF787" s="3"/>
      <c r="FG787" s="3"/>
      <c r="FH787" s="3"/>
      <c r="FI787" s="3"/>
      <c r="FJ787" s="3"/>
      <c r="FK787" s="3"/>
      <c r="FL787" s="3"/>
      <c r="FM787" s="3"/>
      <c r="FN787" s="3"/>
      <c r="FO787" s="3"/>
      <c r="FP787" s="3"/>
      <c r="FQ787" s="3"/>
      <c r="FR787" s="3"/>
      <c r="FS787" s="3"/>
      <c r="FT787" s="3"/>
      <c r="FU787" s="3"/>
      <c r="FV787" s="3"/>
      <c r="FW787" s="3"/>
      <c r="FX787" s="3"/>
      <c r="FY787" s="3"/>
      <c r="FZ787" s="3"/>
      <c r="GA787" s="3"/>
      <c r="GB787" s="3"/>
      <c r="GC787" s="3"/>
      <c r="GD787" s="3"/>
      <c r="GE787" s="3"/>
      <c r="GF787" s="3"/>
      <c r="GG787" s="3"/>
      <c r="GH787" s="3"/>
      <c r="GI787" s="3"/>
      <c r="GJ787" s="3"/>
      <c r="GK787" s="3"/>
      <c r="GL787" s="3"/>
      <c r="GM787" s="3"/>
      <c r="GN787" s="3"/>
      <c r="GO787" s="3"/>
      <c r="GP787" s="3"/>
      <c r="GQ787" s="3"/>
      <c r="GR787" s="3"/>
      <c r="GS787" s="3"/>
      <c r="GT787" s="3"/>
      <c r="GU787" s="3"/>
      <c r="GV787" s="3"/>
      <c r="GW787" s="3"/>
      <c r="GX787" s="3">
        <v>0</v>
      </c>
    </row>
    <row r="789" spans="1:206" x14ac:dyDescent="0.2">
      <c r="A789" s="4">
        <v>50</v>
      </c>
      <c r="B789" s="4">
        <v>0</v>
      </c>
      <c r="C789" s="4">
        <v>0</v>
      </c>
      <c r="D789" s="4">
        <v>1</v>
      </c>
      <c r="E789" s="4">
        <v>201</v>
      </c>
      <c r="F789" s="4">
        <f>ROUND(Source!O787,O789)</f>
        <v>1044491.17</v>
      </c>
      <c r="G789" s="4" t="s">
        <v>86</v>
      </c>
      <c r="H789" s="4" t="s">
        <v>87</v>
      </c>
      <c r="I789" s="4"/>
      <c r="J789" s="4"/>
      <c r="K789" s="4">
        <v>201</v>
      </c>
      <c r="L789" s="4">
        <v>1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958731.3</v>
      </c>
      <c r="X789" s="4">
        <v>1</v>
      </c>
      <c r="Y789" s="4">
        <v>958731.3</v>
      </c>
      <c r="Z789" s="4"/>
      <c r="AA789" s="4"/>
      <c r="AB789" s="4"/>
    </row>
    <row r="790" spans="1:206" x14ac:dyDescent="0.2">
      <c r="A790" s="4">
        <v>50</v>
      </c>
      <c r="B790" s="4">
        <v>0</v>
      </c>
      <c r="C790" s="4">
        <v>0</v>
      </c>
      <c r="D790" s="4">
        <v>1</v>
      </c>
      <c r="E790" s="4">
        <v>202</v>
      </c>
      <c r="F790" s="4">
        <f>ROUND(Source!P787,O790)</f>
        <v>154661.26</v>
      </c>
      <c r="G790" s="4" t="s">
        <v>88</v>
      </c>
      <c r="H790" s="4" t="s">
        <v>89</v>
      </c>
      <c r="I790" s="4"/>
      <c r="J790" s="4"/>
      <c r="K790" s="4">
        <v>202</v>
      </c>
      <c r="L790" s="4">
        <v>2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153852.75</v>
      </c>
      <c r="X790" s="4">
        <v>1</v>
      </c>
      <c r="Y790" s="4">
        <v>153852.75</v>
      </c>
      <c r="Z790" s="4"/>
      <c r="AA790" s="4"/>
      <c r="AB790" s="4"/>
    </row>
    <row r="791" spans="1:206" x14ac:dyDescent="0.2">
      <c r="A791" s="4">
        <v>50</v>
      </c>
      <c r="B791" s="4">
        <v>0</v>
      </c>
      <c r="C791" s="4">
        <v>0</v>
      </c>
      <c r="D791" s="4">
        <v>1</v>
      </c>
      <c r="E791" s="4">
        <v>222</v>
      </c>
      <c r="F791" s="4">
        <f>ROUND(Source!AO787,O791)</f>
        <v>0</v>
      </c>
      <c r="G791" s="4" t="s">
        <v>90</v>
      </c>
      <c r="H791" s="4" t="s">
        <v>91</v>
      </c>
      <c r="I791" s="4"/>
      <c r="J791" s="4"/>
      <c r="K791" s="4">
        <v>222</v>
      </c>
      <c r="L791" s="4">
        <v>3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06" x14ac:dyDescent="0.2">
      <c r="A792" s="4">
        <v>50</v>
      </c>
      <c r="B792" s="4">
        <v>0</v>
      </c>
      <c r="C792" s="4">
        <v>0</v>
      </c>
      <c r="D792" s="4">
        <v>1</v>
      </c>
      <c r="E792" s="4">
        <v>225</v>
      </c>
      <c r="F792" s="4">
        <f>ROUND(Source!AV787,O792)</f>
        <v>154661.26</v>
      </c>
      <c r="G792" s="4" t="s">
        <v>92</v>
      </c>
      <c r="H792" s="4" t="s">
        <v>93</v>
      </c>
      <c r="I792" s="4"/>
      <c r="J792" s="4"/>
      <c r="K792" s="4">
        <v>225</v>
      </c>
      <c r="L792" s="4">
        <v>4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153852.75</v>
      </c>
      <c r="X792" s="4">
        <v>1</v>
      </c>
      <c r="Y792" s="4">
        <v>153852.75</v>
      </c>
      <c r="Z792" s="4"/>
      <c r="AA792" s="4"/>
      <c r="AB792" s="4"/>
    </row>
    <row r="793" spans="1:206" x14ac:dyDescent="0.2">
      <c r="A793" s="4">
        <v>50</v>
      </c>
      <c r="B793" s="4">
        <v>0</v>
      </c>
      <c r="C793" s="4">
        <v>0</v>
      </c>
      <c r="D793" s="4">
        <v>1</v>
      </c>
      <c r="E793" s="4">
        <v>226</v>
      </c>
      <c r="F793" s="4">
        <f>ROUND(Source!AW787,O793)</f>
        <v>154661.26</v>
      </c>
      <c r="G793" s="4" t="s">
        <v>94</v>
      </c>
      <c r="H793" s="4" t="s">
        <v>95</v>
      </c>
      <c r="I793" s="4"/>
      <c r="J793" s="4"/>
      <c r="K793" s="4">
        <v>226</v>
      </c>
      <c r="L793" s="4">
        <v>5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153852.75</v>
      </c>
      <c r="X793" s="4">
        <v>1</v>
      </c>
      <c r="Y793" s="4">
        <v>153852.75</v>
      </c>
      <c r="Z793" s="4"/>
      <c r="AA793" s="4"/>
      <c r="AB793" s="4"/>
    </row>
    <row r="794" spans="1:206" x14ac:dyDescent="0.2">
      <c r="A794" s="4">
        <v>50</v>
      </c>
      <c r="B794" s="4">
        <v>0</v>
      </c>
      <c r="C794" s="4">
        <v>0</v>
      </c>
      <c r="D794" s="4">
        <v>1</v>
      </c>
      <c r="E794" s="4">
        <v>227</v>
      </c>
      <c r="F794" s="4">
        <f>ROUND(Source!AX787,O794)</f>
        <v>0</v>
      </c>
      <c r="G794" s="4" t="s">
        <v>96</v>
      </c>
      <c r="H794" s="4" t="s">
        <v>97</v>
      </c>
      <c r="I794" s="4"/>
      <c r="J794" s="4"/>
      <c r="K794" s="4">
        <v>227</v>
      </c>
      <c r="L794" s="4">
        <v>6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0</v>
      </c>
      <c r="X794" s="4">
        <v>1</v>
      </c>
      <c r="Y794" s="4">
        <v>0</v>
      </c>
      <c r="Z794" s="4"/>
      <c r="AA794" s="4"/>
      <c r="AB794" s="4"/>
    </row>
    <row r="795" spans="1:206" x14ac:dyDescent="0.2">
      <c r="A795" s="4">
        <v>50</v>
      </c>
      <c r="B795" s="4">
        <v>0</v>
      </c>
      <c r="C795" s="4">
        <v>0</v>
      </c>
      <c r="D795" s="4">
        <v>1</v>
      </c>
      <c r="E795" s="4">
        <v>228</v>
      </c>
      <c r="F795" s="4">
        <f>ROUND(Source!AY787,O795)</f>
        <v>154661.26</v>
      </c>
      <c r="G795" s="4" t="s">
        <v>98</v>
      </c>
      <c r="H795" s="4" t="s">
        <v>99</v>
      </c>
      <c r="I795" s="4"/>
      <c r="J795" s="4"/>
      <c r="K795" s="4">
        <v>228</v>
      </c>
      <c r="L795" s="4">
        <v>7</v>
      </c>
      <c r="M795" s="4">
        <v>3</v>
      </c>
      <c r="N795" s="4" t="s">
        <v>3</v>
      </c>
      <c r="O795" s="4">
        <v>2</v>
      </c>
      <c r="P795" s="4"/>
      <c r="Q795" s="4"/>
      <c r="R795" s="4"/>
      <c r="S795" s="4"/>
      <c r="T795" s="4"/>
      <c r="U795" s="4"/>
      <c r="V795" s="4"/>
      <c r="W795" s="4">
        <v>153852.75</v>
      </c>
      <c r="X795" s="4">
        <v>1</v>
      </c>
      <c r="Y795" s="4">
        <v>153852.75</v>
      </c>
      <c r="Z795" s="4"/>
      <c r="AA795" s="4"/>
      <c r="AB795" s="4"/>
    </row>
    <row r="796" spans="1:206" x14ac:dyDescent="0.2">
      <c r="A796" s="4">
        <v>50</v>
      </c>
      <c r="B796" s="4">
        <v>0</v>
      </c>
      <c r="C796" s="4">
        <v>0</v>
      </c>
      <c r="D796" s="4">
        <v>1</v>
      </c>
      <c r="E796" s="4">
        <v>216</v>
      </c>
      <c r="F796" s="4">
        <f>ROUND(Source!AP787,O796)</f>
        <v>0</v>
      </c>
      <c r="G796" s="4" t="s">
        <v>100</v>
      </c>
      <c r="H796" s="4" t="s">
        <v>101</v>
      </c>
      <c r="I796" s="4"/>
      <c r="J796" s="4"/>
      <c r="K796" s="4">
        <v>216</v>
      </c>
      <c r="L796" s="4">
        <v>8</v>
      </c>
      <c r="M796" s="4">
        <v>3</v>
      </c>
      <c r="N796" s="4" t="s">
        <v>3</v>
      </c>
      <c r="O796" s="4">
        <v>2</v>
      </c>
      <c r="P796" s="4"/>
      <c r="Q796" s="4"/>
      <c r="R796" s="4"/>
      <c r="S796" s="4"/>
      <c r="T796" s="4"/>
      <c r="U796" s="4"/>
      <c r="V796" s="4"/>
      <c r="W796" s="4">
        <v>0</v>
      </c>
      <c r="X796" s="4">
        <v>1</v>
      </c>
      <c r="Y796" s="4">
        <v>0</v>
      </c>
      <c r="Z796" s="4"/>
      <c r="AA796" s="4"/>
      <c r="AB796" s="4"/>
    </row>
    <row r="797" spans="1:206" x14ac:dyDescent="0.2">
      <c r="A797" s="4">
        <v>50</v>
      </c>
      <c r="B797" s="4">
        <v>0</v>
      </c>
      <c r="C797" s="4">
        <v>0</v>
      </c>
      <c r="D797" s="4">
        <v>1</v>
      </c>
      <c r="E797" s="4">
        <v>223</v>
      </c>
      <c r="F797" s="4">
        <f>ROUND(Source!AQ787,O797)</f>
        <v>0</v>
      </c>
      <c r="G797" s="4" t="s">
        <v>102</v>
      </c>
      <c r="H797" s="4" t="s">
        <v>103</v>
      </c>
      <c r="I797" s="4"/>
      <c r="J797" s="4"/>
      <c r="K797" s="4">
        <v>223</v>
      </c>
      <c r="L797" s="4">
        <v>9</v>
      </c>
      <c r="M797" s="4">
        <v>3</v>
      </c>
      <c r="N797" s="4" t="s">
        <v>3</v>
      </c>
      <c r="O797" s="4">
        <v>2</v>
      </c>
      <c r="P797" s="4"/>
      <c r="Q797" s="4"/>
      <c r="R797" s="4"/>
      <c r="S797" s="4"/>
      <c r="T797" s="4"/>
      <c r="U797" s="4"/>
      <c r="V797" s="4"/>
      <c r="W797" s="4">
        <v>0</v>
      </c>
      <c r="X797" s="4">
        <v>1</v>
      </c>
      <c r="Y797" s="4">
        <v>0</v>
      </c>
      <c r="Z797" s="4"/>
      <c r="AA797" s="4"/>
      <c r="AB797" s="4"/>
    </row>
    <row r="798" spans="1:206" x14ac:dyDescent="0.2">
      <c r="A798" s="4">
        <v>50</v>
      </c>
      <c r="B798" s="4">
        <v>0</v>
      </c>
      <c r="C798" s="4">
        <v>0</v>
      </c>
      <c r="D798" s="4">
        <v>1</v>
      </c>
      <c r="E798" s="4">
        <v>229</v>
      </c>
      <c r="F798" s="4">
        <f>ROUND(Source!AZ787,O798)</f>
        <v>0</v>
      </c>
      <c r="G798" s="4" t="s">
        <v>104</v>
      </c>
      <c r="H798" s="4" t="s">
        <v>105</v>
      </c>
      <c r="I798" s="4"/>
      <c r="J798" s="4"/>
      <c r="K798" s="4">
        <v>229</v>
      </c>
      <c r="L798" s="4">
        <v>10</v>
      </c>
      <c r="M798" s="4">
        <v>3</v>
      </c>
      <c r="N798" s="4" t="s">
        <v>3</v>
      </c>
      <c r="O798" s="4">
        <v>2</v>
      </c>
      <c r="P798" s="4"/>
      <c r="Q798" s="4"/>
      <c r="R798" s="4"/>
      <c r="S798" s="4"/>
      <c r="T798" s="4"/>
      <c r="U798" s="4"/>
      <c r="V798" s="4"/>
      <c r="W798" s="4">
        <v>0</v>
      </c>
      <c r="X798" s="4">
        <v>1</v>
      </c>
      <c r="Y798" s="4">
        <v>0</v>
      </c>
      <c r="Z798" s="4"/>
      <c r="AA798" s="4"/>
      <c r="AB798" s="4"/>
    </row>
    <row r="799" spans="1:206" x14ac:dyDescent="0.2">
      <c r="A799" s="4">
        <v>50</v>
      </c>
      <c r="B799" s="4">
        <v>0</v>
      </c>
      <c r="C799" s="4">
        <v>0</v>
      </c>
      <c r="D799" s="4">
        <v>1</v>
      </c>
      <c r="E799" s="4">
        <v>203</v>
      </c>
      <c r="F799" s="4">
        <f>ROUND(Source!Q787,O799)</f>
        <v>50114.39</v>
      </c>
      <c r="G799" s="4" t="s">
        <v>106</v>
      </c>
      <c r="H799" s="4" t="s">
        <v>107</v>
      </c>
      <c r="I799" s="4"/>
      <c r="J799" s="4"/>
      <c r="K799" s="4">
        <v>203</v>
      </c>
      <c r="L799" s="4">
        <v>11</v>
      </c>
      <c r="M799" s="4">
        <v>3</v>
      </c>
      <c r="N799" s="4" t="s">
        <v>3</v>
      </c>
      <c r="O799" s="4">
        <v>2</v>
      </c>
      <c r="P799" s="4"/>
      <c r="Q799" s="4"/>
      <c r="R799" s="4"/>
      <c r="S799" s="4"/>
      <c r="T799" s="4"/>
      <c r="U799" s="4"/>
      <c r="V799" s="4"/>
      <c r="W799" s="4">
        <v>46540.65</v>
      </c>
      <c r="X799" s="4">
        <v>1</v>
      </c>
      <c r="Y799" s="4">
        <v>46540.65</v>
      </c>
      <c r="Z799" s="4"/>
      <c r="AA799" s="4"/>
      <c r="AB799" s="4"/>
    </row>
    <row r="800" spans="1:206" x14ac:dyDescent="0.2">
      <c r="A800" s="4">
        <v>50</v>
      </c>
      <c r="B800" s="4">
        <v>0</v>
      </c>
      <c r="C800" s="4">
        <v>0</v>
      </c>
      <c r="D800" s="4">
        <v>1</v>
      </c>
      <c r="E800" s="4">
        <v>231</v>
      </c>
      <c r="F800" s="4">
        <f>ROUND(Source!BB787,O800)</f>
        <v>0</v>
      </c>
      <c r="G800" s="4" t="s">
        <v>108</v>
      </c>
      <c r="H800" s="4" t="s">
        <v>109</v>
      </c>
      <c r="I800" s="4"/>
      <c r="J800" s="4"/>
      <c r="K800" s="4">
        <v>231</v>
      </c>
      <c r="L800" s="4">
        <v>12</v>
      </c>
      <c r="M800" s="4">
        <v>3</v>
      </c>
      <c r="N800" s="4" t="s">
        <v>3</v>
      </c>
      <c r="O800" s="4">
        <v>2</v>
      </c>
      <c r="P800" s="4"/>
      <c r="Q800" s="4"/>
      <c r="R800" s="4"/>
      <c r="S800" s="4"/>
      <c r="T800" s="4"/>
      <c r="U800" s="4"/>
      <c r="V800" s="4"/>
      <c r="W800" s="4">
        <v>0</v>
      </c>
      <c r="X800" s="4">
        <v>1</v>
      </c>
      <c r="Y800" s="4">
        <v>0</v>
      </c>
      <c r="Z800" s="4"/>
      <c r="AA800" s="4"/>
      <c r="AB800" s="4"/>
    </row>
    <row r="801" spans="1:28" x14ac:dyDescent="0.2">
      <c r="A801" s="4">
        <v>50</v>
      </c>
      <c r="B801" s="4">
        <v>0</v>
      </c>
      <c r="C801" s="4">
        <v>0</v>
      </c>
      <c r="D801" s="4">
        <v>1</v>
      </c>
      <c r="E801" s="4">
        <v>204</v>
      </c>
      <c r="F801" s="4">
        <f>ROUND(Source!R787,O801)</f>
        <v>31304.959999999999</v>
      </c>
      <c r="G801" s="4" t="s">
        <v>110</v>
      </c>
      <c r="H801" s="4" t="s">
        <v>111</v>
      </c>
      <c r="I801" s="4"/>
      <c r="J801" s="4"/>
      <c r="K801" s="4">
        <v>204</v>
      </c>
      <c r="L801" s="4">
        <v>13</v>
      </c>
      <c r="M801" s="4">
        <v>3</v>
      </c>
      <c r="N801" s="4" t="s">
        <v>3</v>
      </c>
      <c r="O801" s="4">
        <v>2</v>
      </c>
      <c r="P801" s="4"/>
      <c r="Q801" s="4"/>
      <c r="R801" s="4"/>
      <c r="S801" s="4"/>
      <c r="T801" s="4"/>
      <c r="U801" s="4"/>
      <c r="V801" s="4"/>
      <c r="W801" s="4">
        <v>29073.67</v>
      </c>
      <c r="X801" s="4">
        <v>1</v>
      </c>
      <c r="Y801" s="4">
        <v>29073.67</v>
      </c>
      <c r="Z801" s="4"/>
      <c r="AA801" s="4"/>
      <c r="AB801" s="4"/>
    </row>
    <row r="802" spans="1:28" x14ac:dyDescent="0.2">
      <c r="A802" s="4">
        <v>50</v>
      </c>
      <c r="B802" s="4">
        <v>0</v>
      </c>
      <c r="C802" s="4">
        <v>0</v>
      </c>
      <c r="D802" s="4">
        <v>1</v>
      </c>
      <c r="E802" s="4">
        <v>205</v>
      </c>
      <c r="F802" s="4">
        <f>ROUND(Source!S787,O802)</f>
        <v>839715.52</v>
      </c>
      <c r="G802" s="4" t="s">
        <v>112</v>
      </c>
      <c r="H802" s="4" t="s">
        <v>113</v>
      </c>
      <c r="I802" s="4"/>
      <c r="J802" s="4"/>
      <c r="K802" s="4">
        <v>205</v>
      </c>
      <c r="L802" s="4">
        <v>14</v>
      </c>
      <c r="M802" s="4">
        <v>3</v>
      </c>
      <c r="N802" s="4" t="s">
        <v>3</v>
      </c>
      <c r="O802" s="4">
        <v>2</v>
      </c>
      <c r="P802" s="4"/>
      <c r="Q802" s="4"/>
      <c r="R802" s="4"/>
      <c r="S802" s="4"/>
      <c r="T802" s="4"/>
      <c r="U802" s="4"/>
      <c r="V802" s="4"/>
      <c r="W802" s="4">
        <v>758337.9</v>
      </c>
      <c r="X802" s="4">
        <v>1</v>
      </c>
      <c r="Y802" s="4">
        <v>758337.9</v>
      </c>
      <c r="Z802" s="4"/>
      <c r="AA802" s="4"/>
      <c r="AB802" s="4"/>
    </row>
    <row r="803" spans="1:28" x14ac:dyDescent="0.2">
      <c r="A803" s="4">
        <v>50</v>
      </c>
      <c r="B803" s="4">
        <v>0</v>
      </c>
      <c r="C803" s="4">
        <v>0</v>
      </c>
      <c r="D803" s="4">
        <v>1</v>
      </c>
      <c r="E803" s="4">
        <v>232</v>
      </c>
      <c r="F803" s="4">
        <f>ROUND(Source!BC787,O803)</f>
        <v>0</v>
      </c>
      <c r="G803" s="4" t="s">
        <v>114</v>
      </c>
      <c r="H803" s="4" t="s">
        <v>115</v>
      </c>
      <c r="I803" s="4"/>
      <c r="J803" s="4"/>
      <c r="K803" s="4">
        <v>232</v>
      </c>
      <c r="L803" s="4">
        <v>15</v>
      </c>
      <c r="M803" s="4">
        <v>3</v>
      </c>
      <c r="N803" s="4" t="s">
        <v>3</v>
      </c>
      <c r="O803" s="4">
        <v>2</v>
      </c>
      <c r="P803" s="4"/>
      <c r="Q803" s="4"/>
      <c r="R803" s="4"/>
      <c r="S803" s="4"/>
      <c r="T803" s="4"/>
      <c r="U803" s="4"/>
      <c r="V803" s="4"/>
      <c r="W803" s="4">
        <v>0</v>
      </c>
      <c r="X803" s="4">
        <v>1</v>
      </c>
      <c r="Y803" s="4">
        <v>0</v>
      </c>
      <c r="Z803" s="4"/>
      <c r="AA803" s="4"/>
      <c r="AB803" s="4"/>
    </row>
    <row r="804" spans="1:28" x14ac:dyDescent="0.2">
      <c r="A804" s="4">
        <v>50</v>
      </c>
      <c r="B804" s="4">
        <v>0</v>
      </c>
      <c r="C804" s="4">
        <v>0</v>
      </c>
      <c r="D804" s="4">
        <v>1</v>
      </c>
      <c r="E804" s="4">
        <v>214</v>
      </c>
      <c r="F804" s="4">
        <f>ROUND(Source!AS787,O804)</f>
        <v>0</v>
      </c>
      <c r="G804" s="4" t="s">
        <v>116</v>
      </c>
      <c r="H804" s="4" t="s">
        <v>117</v>
      </c>
      <c r="I804" s="4"/>
      <c r="J804" s="4"/>
      <c r="K804" s="4">
        <v>214</v>
      </c>
      <c r="L804" s="4">
        <v>16</v>
      </c>
      <c r="M804" s="4">
        <v>3</v>
      </c>
      <c r="N804" s="4" t="s">
        <v>3</v>
      </c>
      <c r="O804" s="4">
        <v>2</v>
      </c>
      <c r="P804" s="4"/>
      <c r="Q804" s="4"/>
      <c r="R804" s="4"/>
      <c r="S804" s="4"/>
      <c r="T804" s="4"/>
      <c r="U804" s="4"/>
      <c r="V804" s="4"/>
      <c r="W804" s="4">
        <v>0</v>
      </c>
      <c r="X804" s="4">
        <v>1</v>
      </c>
      <c r="Y804" s="4">
        <v>0</v>
      </c>
      <c r="Z804" s="4"/>
      <c r="AA804" s="4"/>
      <c r="AB804" s="4"/>
    </row>
    <row r="805" spans="1:28" x14ac:dyDescent="0.2">
      <c r="A805" s="4">
        <v>50</v>
      </c>
      <c r="B805" s="4">
        <v>0</v>
      </c>
      <c r="C805" s="4">
        <v>0</v>
      </c>
      <c r="D805" s="4">
        <v>1</v>
      </c>
      <c r="E805" s="4">
        <v>215</v>
      </c>
      <c r="F805" s="4">
        <f>ROUND(Source!AT787,O805)</f>
        <v>0</v>
      </c>
      <c r="G805" s="4" t="s">
        <v>118</v>
      </c>
      <c r="H805" s="4" t="s">
        <v>119</v>
      </c>
      <c r="I805" s="4"/>
      <c r="J805" s="4"/>
      <c r="K805" s="4">
        <v>215</v>
      </c>
      <c r="L805" s="4">
        <v>17</v>
      </c>
      <c r="M805" s="4">
        <v>3</v>
      </c>
      <c r="N805" s="4" t="s">
        <v>3</v>
      </c>
      <c r="O805" s="4">
        <v>2</v>
      </c>
      <c r="P805" s="4"/>
      <c r="Q805" s="4"/>
      <c r="R805" s="4"/>
      <c r="S805" s="4"/>
      <c r="T805" s="4"/>
      <c r="U805" s="4"/>
      <c r="V805" s="4"/>
      <c r="W805" s="4">
        <v>0</v>
      </c>
      <c r="X805" s="4">
        <v>1</v>
      </c>
      <c r="Y805" s="4">
        <v>0</v>
      </c>
      <c r="Z805" s="4"/>
      <c r="AA805" s="4"/>
      <c r="AB805" s="4"/>
    </row>
    <row r="806" spans="1:28" x14ac:dyDescent="0.2">
      <c r="A806" s="4">
        <v>50</v>
      </c>
      <c r="B806" s="4">
        <v>0</v>
      </c>
      <c r="C806" s="4">
        <v>0</v>
      </c>
      <c r="D806" s="4">
        <v>1</v>
      </c>
      <c r="E806" s="4">
        <v>217</v>
      </c>
      <c r="F806" s="4">
        <f>ROUND(Source!AU787,O806)</f>
        <v>1750072.99</v>
      </c>
      <c r="G806" s="4" t="s">
        <v>120</v>
      </c>
      <c r="H806" s="4" t="s">
        <v>121</v>
      </c>
      <c r="I806" s="4"/>
      <c r="J806" s="4"/>
      <c r="K806" s="4">
        <v>217</v>
      </c>
      <c r="L806" s="4">
        <v>18</v>
      </c>
      <c r="M806" s="4">
        <v>3</v>
      </c>
      <c r="N806" s="4" t="s">
        <v>3</v>
      </c>
      <c r="O806" s="4">
        <v>2</v>
      </c>
      <c r="P806" s="4"/>
      <c r="Q806" s="4"/>
      <c r="R806" s="4"/>
      <c r="S806" s="4"/>
      <c r="T806" s="4"/>
      <c r="U806" s="4"/>
      <c r="V806" s="4"/>
      <c r="W806" s="4">
        <v>1596801.21</v>
      </c>
      <c r="X806" s="4">
        <v>1</v>
      </c>
      <c r="Y806" s="4">
        <v>1596801.21</v>
      </c>
      <c r="Z806" s="4"/>
      <c r="AA806" s="4"/>
      <c r="AB806" s="4"/>
    </row>
    <row r="807" spans="1:28" x14ac:dyDescent="0.2">
      <c r="A807" s="4">
        <v>50</v>
      </c>
      <c r="B807" s="4">
        <v>0</v>
      </c>
      <c r="C807" s="4">
        <v>0</v>
      </c>
      <c r="D807" s="4">
        <v>1</v>
      </c>
      <c r="E807" s="4">
        <v>230</v>
      </c>
      <c r="F807" s="4">
        <f>ROUND(Source!BA787,O807)</f>
        <v>0</v>
      </c>
      <c r="G807" s="4" t="s">
        <v>122</v>
      </c>
      <c r="H807" s="4" t="s">
        <v>123</v>
      </c>
      <c r="I807" s="4"/>
      <c r="J807" s="4"/>
      <c r="K807" s="4">
        <v>230</v>
      </c>
      <c r="L807" s="4">
        <v>19</v>
      </c>
      <c r="M807" s="4">
        <v>3</v>
      </c>
      <c r="N807" s="4" t="s">
        <v>3</v>
      </c>
      <c r="O807" s="4">
        <v>2</v>
      </c>
      <c r="P807" s="4"/>
      <c r="Q807" s="4"/>
      <c r="R807" s="4"/>
      <c r="S807" s="4"/>
      <c r="T807" s="4"/>
      <c r="U807" s="4"/>
      <c r="V807" s="4"/>
      <c r="W807" s="4">
        <v>0</v>
      </c>
      <c r="X807" s="4">
        <v>1</v>
      </c>
      <c r="Y807" s="4">
        <v>0</v>
      </c>
      <c r="Z807" s="4"/>
      <c r="AA807" s="4"/>
      <c r="AB807" s="4"/>
    </row>
    <row r="808" spans="1:28" x14ac:dyDescent="0.2">
      <c r="A808" s="4">
        <v>50</v>
      </c>
      <c r="B808" s="4">
        <v>0</v>
      </c>
      <c r="C808" s="4">
        <v>0</v>
      </c>
      <c r="D808" s="4">
        <v>1</v>
      </c>
      <c r="E808" s="4">
        <v>206</v>
      </c>
      <c r="F808" s="4">
        <f>ROUND(Source!T787,O808)</f>
        <v>0</v>
      </c>
      <c r="G808" s="4" t="s">
        <v>124</v>
      </c>
      <c r="H808" s="4" t="s">
        <v>125</v>
      </c>
      <c r="I808" s="4"/>
      <c r="J808" s="4"/>
      <c r="K808" s="4">
        <v>206</v>
      </c>
      <c r="L808" s="4">
        <v>20</v>
      </c>
      <c r="M808" s="4">
        <v>3</v>
      </c>
      <c r="N808" s="4" t="s">
        <v>3</v>
      </c>
      <c r="O808" s="4">
        <v>2</v>
      </c>
      <c r="P808" s="4"/>
      <c r="Q808" s="4"/>
      <c r="R808" s="4"/>
      <c r="S808" s="4"/>
      <c r="T808" s="4"/>
      <c r="U808" s="4"/>
      <c r="V808" s="4"/>
      <c r="W808" s="4">
        <v>0</v>
      </c>
      <c r="X808" s="4">
        <v>1</v>
      </c>
      <c r="Y808" s="4">
        <v>0</v>
      </c>
      <c r="Z808" s="4"/>
      <c r="AA808" s="4"/>
      <c r="AB808" s="4"/>
    </row>
    <row r="809" spans="1:28" x14ac:dyDescent="0.2">
      <c r="A809" s="4">
        <v>50</v>
      </c>
      <c r="B809" s="4">
        <v>0</v>
      </c>
      <c r="C809" s="4">
        <v>0</v>
      </c>
      <c r="D809" s="4">
        <v>1</v>
      </c>
      <c r="E809" s="4">
        <v>207</v>
      </c>
      <c r="F809" s="4">
        <f>Source!U787</f>
        <v>1393.3289999999997</v>
      </c>
      <c r="G809" s="4" t="s">
        <v>126</v>
      </c>
      <c r="H809" s="4" t="s">
        <v>127</v>
      </c>
      <c r="I809" s="4"/>
      <c r="J809" s="4"/>
      <c r="K809" s="4">
        <v>207</v>
      </c>
      <c r="L809" s="4">
        <v>21</v>
      </c>
      <c r="M809" s="4">
        <v>3</v>
      </c>
      <c r="N809" s="4" t="s">
        <v>3</v>
      </c>
      <c r="O809" s="4">
        <v>-1</v>
      </c>
      <c r="P809" s="4"/>
      <c r="Q809" s="4"/>
      <c r="R809" s="4"/>
      <c r="S809" s="4"/>
      <c r="T809" s="4"/>
      <c r="U809" s="4"/>
      <c r="V809" s="4"/>
      <c r="W809" s="4">
        <v>1236.6884999999997</v>
      </c>
      <c r="X809" s="4">
        <v>1</v>
      </c>
      <c r="Y809" s="4">
        <v>1236.6884999999997</v>
      </c>
      <c r="Z809" s="4"/>
      <c r="AA809" s="4"/>
      <c r="AB809" s="4"/>
    </row>
    <row r="810" spans="1:28" x14ac:dyDescent="0.2">
      <c r="A810" s="4">
        <v>50</v>
      </c>
      <c r="B810" s="4">
        <v>0</v>
      </c>
      <c r="C810" s="4">
        <v>0</v>
      </c>
      <c r="D810" s="4">
        <v>1</v>
      </c>
      <c r="E810" s="4">
        <v>208</v>
      </c>
      <c r="F810" s="4">
        <f>Source!V787</f>
        <v>0</v>
      </c>
      <c r="G810" s="4" t="s">
        <v>128</v>
      </c>
      <c r="H810" s="4" t="s">
        <v>129</v>
      </c>
      <c r="I810" s="4"/>
      <c r="J810" s="4"/>
      <c r="K810" s="4">
        <v>208</v>
      </c>
      <c r="L810" s="4">
        <v>22</v>
      </c>
      <c r="M810" s="4">
        <v>3</v>
      </c>
      <c r="N810" s="4" t="s">
        <v>3</v>
      </c>
      <c r="O810" s="4">
        <v>-1</v>
      </c>
      <c r="P810" s="4"/>
      <c r="Q810" s="4"/>
      <c r="R810" s="4"/>
      <c r="S810" s="4"/>
      <c r="T810" s="4"/>
      <c r="U810" s="4"/>
      <c r="V810" s="4"/>
      <c r="W810" s="4">
        <v>0</v>
      </c>
      <c r="X810" s="4">
        <v>1</v>
      </c>
      <c r="Y810" s="4">
        <v>0</v>
      </c>
      <c r="Z810" s="4"/>
      <c r="AA810" s="4"/>
      <c r="AB810" s="4"/>
    </row>
    <row r="811" spans="1:28" x14ac:dyDescent="0.2">
      <c r="A811" s="4">
        <v>50</v>
      </c>
      <c r="B811" s="4">
        <v>0</v>
      </c>
      <c r="C811" s="4">
        <v>0</v>
      </c>
      <c r="D811" s="4">
        <v>1</v>
      </c>
      <c r="E811" s="4">
        <v>209</v>
      </c>
      <c r="F811" s="4">
        <f>ROUND(Source!W787,O811)</f>
        <v>0</v>
      </c>
      <c r="G811" s="4" t="s">
        <v>130</v>
      </c>
      <c r="H811" s="4" t="s">
        <v>131</v>
      </c>
      <c r="I811" s="4"/>
      <c r="J811" s="4"/>
      <c r="K811" s="4">
        <v>209</v>
      </c>
      <c r="L811" s="4">
        <v>23</v>
      </c>
      <c r="M811" s="4">
        <v>3</v>
      </c>
      <c r="N811" s="4" t="s">
        <v>3</v>
      </c>
      <c r="O811" s="4">
        <v>2</v>
      </c>
      <c r="P811" s="4"/>
      <c r="Q811" s="4"/>
      <c r="R811" s="4"/>
      <c r="S811" s="4"/>
      <c r="T811" s="4"/>
      <c r="U811" s="4"/>
      <c r="V811" s="4"/>
      <c r="W811" s="4">
        <v>0</v>
      </c>
      <c r="X811" s="4">
        <v>1</v>
      </c>
      <c r="Y811" s="4">
        <v>0</v>
      </c>
      <c r="Z811" s="4"/>
      <c r="AA811" s="4"/>
      <c r="AB811" s="4"/>
    </row>
    <row r="812" spans="1:28" x14ac:dyDescent="0.2">
      <c r="A812" s="4">
        <v>50</v>
      </c>
      <c r="B812" s="4">
        <v>0</v>
      </c>
      <c r="C812" s="4">
        <v>0</v>
      </c>
      <c r="D812" s="4">
        <v>1</v>
      </c>
      <c r="E812" s="4">
        <v>233</v>
      </c>
      <c r="F812" s="4">
        <f>ROUND(Source!BD787,O812)</f>
        <v>0</v>
      </c>
      <c r="G812" s="4" t="s">
        <v>132</v>
      </c>
      <c r="H812" s="4" t="s">
        <v>133</v>
      </c>
      <c r="I812" s="4"/>
      <c r="J812" s="4"/>
      <c r="K812" s="4">
        <v>233</v>
      </c>
      <c r="L812" s="4">
        <v>24</v>
      </c>
      <c r="M812" s="4">
        <v>3</v>
      </c>
      <c r="N812" s="4" t="s">
        <v>3</v>
      </c>
      <c r="O812" s="4">
        <v>2</v>
      </c>
      <c r="P812" s="4"/>
      <c r="Q812" s="4"/>
      <c r="R812" s="4"/>
      <c r="S812" s="4"/>
      <c r="T812" s="4"/>
      <c r="U812" s="4"/>
      <c r="V812" s="4"/>
      <c r="W812" s="4">
        <v>0</v>
      </c>
      <c r="X812" s="4">
        <v>1</v>
      </c>
      <c r="Y812" s="4">
        <v>0</v>
      </c>
      <c r="Z812" s="4"/>
      <c r="AA812" s="4"/>
      <c r="AB812" s="4"/>
    </row>
    <row r="813" spans="1:28" x14ac:dyDescent="0.2">
      <c r="A813" s="4">
        <v>50</v>
      </c>
      <c r="B813" s="4">
        <v>0</v>
      </c>
      <c r="C813" s="4">
        <v>0</v>
      </c>
      <c r="D813" s="4">
        <v>1</v>
      </c>
      <c r="E813" s="4">
        <v>210</v>
      </c>
      <c r="F813" s="4">
        <f>ROUND(Source!X787,O813)</f>
        <v>587800.9</v>
      </c>
      <c r="G813" s="4" t="s">
        <v>134</v>
      </c>
      <c r="H813" s="4" t="s">
        <v>135</v>
      </c>
      <c r="I813" s="4"/>
      <c r="J813" s="4"/>
      <c r="K813" s="4">
        <v>210</v>
      </c>
      <c r="L813" s="4">
        <v>25</v>
      </c>
      <c r="M813" s="4">
        <v>3</v>
      </c>
      <c r="N813" s="4" t="s">
        <v>3</v>
      </c>
      <c r="O813" s="4">
        <v>2</v>
      </c>
      <c r="P813" s="4"/>
      <c r="Q813" s="4"/>
      <c r="R813" s="4"/>
      <c r="S813" s="4"/>
      <c r="T813" s="4"/>
      <c r="U813" s="4"/>
      <c r="V813" s="4"/>
      <c r="W813" s="4">
        <v>530836.56000000006</v>
      </c>
      <c r="X813" s="4">
        <v>1</v>
      </c>
      <c r="Y813" s="4">
        <v>530836.56000000006</v>
      </c>
      <c r="Z813" s="4"/>
      <c r="AA813" s="4"/>
      <c r="AB813" s="4"/>
    </row>
    <row r="814" spans="1:28" x14ac:dyDescent="0.2">
      <c r="A814" s="4">
        <v>50</v>
      </c>
      <c r="B814" s="4">
        <v>0</v>
      </c>
      <c r="C814" s="4">
        <v>0</v>
      </c>
      <c r="D814" s="4">
        <v>1</v>
      </c>
      <c r="E814" s="4">
        <v>211</v>
      </c>
      <c r="F814" s="4">
        <f>ROUND(Source!Y787,O814)</f>
        <v>83971.6</v>
      </c>
      <c r="G814" s="4" t="s">
        <v>136</v>
      </c>
      <c r="H814" s="4" t="s">
        <v>137</v>
      </c>
      <c r="I814" s="4"/>
      <c r="J814" s="4"/>
      <c r="K814" s="4">
        <v>211</v>
      </c>
      <c r="L814" s="4">
        <v>26</v>
      </c>
      <c r="M814" s="4">
        <v>3</v>
      </c>
      <c r="N814" s="4" t="s">
        <v>3</v>
      </c>
      <c r="O814" s="4">
        <v>2</v>
      </c>
      <c r="P814" s="4"/>
      <c r="Q814" s="4"/>
      <c r="R814" s="4"/>
      <c r="S814" s="4"/>
      <c r="T814" s="4"/>
      <c r="U814" s="4"/>
      <c r="V814" s="4"/>
      <c r="W814" s="4">
        <v>75833.83</v>
      </c>
      <c r="X814" s="4">
        <v>1</v>
      </c>
      <c r="Y814" s="4">
        <v>75833.83</v>
      </c>
      <c r="Z814" s="4"/>
      <c r="AA814" s="4"/>
      <c r="AB814" s="4"/>
    </row>
    <row r="815" spans="1:28" x14ac:dyDescent="0.2">
      <c r="A815" s="4">
        <v>50</v>
      </c>
      <c r="B815" s="4">
        <v>0</v>
      </c>
      <c r="C815" s="4">
        <v>0</v>
      </c>
      <c r="D815" s="4">
        <v>1</v>
      </c>
      <c r="E815" s="4">
        <v>224</v>
      </c>
      <c r="F815" s="4">
        <f>ROUND(Source!AR787,O815)</f>
        <v>1750072.99</v>
      </c>
      <c r="G815" s="4" t="s">
        <v>138</v>
      </c>
      <c r="H815" s="4" t="s">
        <v>139</v>
      </c>
      <c r="I815" s="4"/>
      <c r="J815" s="4"/>
      <c r="K815" s="4">
        <v>224</v>
      </c>
      <c r="L815" s="4">
        <v>27</v>
      </c>
      <c r="M815" s="4">
        <v>3</v>
      </c>
      <c r="N815" s="4" t="s">
        <v>3</v>
      </c>
      <c r="O815" s="4">
        <v>2</v>
      </c>
      <c r="P815" s="4"/>
      <c r="Q815" s="4"/>
      <c r="R815" s="4"/>
      <c r="S815" s="4"/>
      <c r="T815" s="4"/>
      <c r="U815" s="4"/>
      <c r="V815" s="4"/>
      <c r="W815" s="4">
        <v>1596801.21</v>
      </c>
      <c r="X815" s="4">
        <v>1</v>
      </c>
      <c r="Y815" s="4">
        <v>1596801.21</v>
      </c>
      <c r="Z815" s="4"/>
      <c r="AA815" s="4"/>
      <c r="AB815" s="4"/>
    </row>
    <row r="817" spans="1:206" x14ac:dyDescent="0.2">
      <c r="A817" s="2">
        <v>51</v>
      </c>
      <c r="B817" s="2">
        <f>B12</f>
        <v>856</v>
      </c>
      <c r="C817" s="2">
        <f>A12</f>
        <v>1</v>
      </c>
      <c r="D817" s="2">
        <f>ROW(A12)</f>
        <v>12</v>
      </c>
      <c r="E817" s="2"/>
      <c r="F817" s="2" t="str">
        <f>IF(F12&lt;&gt;"",F12,"")</f>
        <v/>
      </c>
      <c r="G817" s="2" t="str">
        <f>IF(G12&lt;&gt;"",G12,"")</f>
        <v>Офис продакшн и туалетные модули_на 4 мес. (10%) испр.</v>
      </c>
      <c r="H817" s="2">
        <v>0</v>
      </c>
      <c r="I817" s="2"/>
      <c r="J817" s="2"/>
      <c r="K817" s="2"/>
      <c r="L817" s="2"/>
      <c r="M817" s="2"/>
      <c r="N817" s="2"/>
      <c r="O817" s="2">
        <f t="shared" ref="O817:T817" si="587">ROUND(O787,2)</f>
        <v>1044491.17</v>
      </c>
      <c r="P817" s="2">
        <f t="shared" si="587"/>
        <v>154661.26</v>
      </c>
      <c r="Q817" s="2">
        <f t="shared" si="587"/>
        <v>50114.39</v>
      </c>
      <c r="R817" s="2">
        <f t="shared" si="587"/>
        <v>31304.959999999999</v>
      </c>
      <c r="S817" s="2">
        <f t="shared" si="587"/>
        <v>839715.52</v>
      </c>
      <c r="T817" s="2">
        <f t="shared" si="587"/>
        <v>0</v>
      </c>
      <c r="U817" s="2">
        <f>U787</f>
        <v>1393.3289999999997</v>
      </c>
      <c r="V817" s="2">
        <f>V787</f>
        <v>0</v>
      </c>
      <c r="W817" s="2">
        <f>ROUND(W787,2)</f>
        <v>0</v>
      </c>
      <c r="X817" s="2">
        <f>ROUND(X787,2)</f>
        <v>587800.9</v>
      </c>
      <c r="Y817" s="2">
        <f>ROUND(Y787,2)</f>
        <v>83971.6</v>
      </c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>
        <f t="shared" ref="AO817:BD817" si="588">ROUND(AO787,2)</f>
        <v>0</v>
      </c>
      <c r="AP817" s="2">
        <f t="shared" si="588"/>
        <v>0</v>
      </c>
      <c r="AQ817" s="2">
        <f t="shared" si="588"/>
        <v>0</v>
      </c>
      <c r="AR817" s="2">
        <f t="shared" si="588"/>
        <v>1750072.99</v>
      </c>
      <c r="AS817" s="2">
        <f t="shared" si="588"/>
        <v>0</v>
      </c>
      <c r="AT817" s="2">
        <f t="shared" si="588"/>
        <v>0</v>
      </c>
      <c r="AU817" s="2">
        <f t="shared" si="588"/>
        <v>1750072.99</v>
      </c>
      <c r="AV817" s="2">
        <f t="shared" si="588"/>
        <v>154661.26</v>
      </c>
      <c r="AW817" s="2">
        <f t="shared" si="588"/>
        <v>154661.26</v>
      </c>
      <c r="AX817" s="2">
        <f t="shared" si="588"/>
        <v>0</v>
      </c>
      <c r="AY817" s="2">
        <f t="shared" si="588"/>
        <v>154661.26</v>
      </c>
      <c r="AZ817" s="2">
        <f t="shared" si="588"/>
        <v>0</v>
      </c>
      <c r="BA817" s="2">
        <f t="shared" si="588"/>
        <v>0</v>
      </c>
      <c r="BB817" s="2">
        <f t="shared" si="588"/>
        <v>0</v>
      </c>
      <c r="BC817" s="2">
        <f t="shared" si="588"/>
        <v>0</v>
      </c>
      <c r="BD817" s="2">
        <f t="shared" si="588"/>
        <v>0</v>
      </c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  <c r="CZ817" s="2"/>
      <c r="DA817" s="2"/>
      <c r="DB817" s="2"/>
      <c r="DC817" s="2"/>
      <c r="DD817" s="2"/>
      <c r="DE817" s="2"/>
      <c r="DF817" s="2"/>
      <c r="DG817" s="3"/>
      <c r="DH817" s="3"/>
      <c r="DI817" s="3"/>
      <c r="DJ817" s="3"/>
      <c r="DK817" s="3"/>
      <c r="DL817" s="3"/>
      <c r="DM817" s="3"/>
      <c r="DN817" s="3"/>
      <c r="DO817" s="3"/>
      <c r="DP817" s="3"/>
      <c r="DQ817" s="3"/>
      <c r="DR817" s="3"/>
      <c r="DS817" s="3"/>
      <c r="DT817" s="3"/>
      <c r="DU817" s="3"/>
      <c r="DV817" s="3"/>
      <c r="DW817" s="3"/>
      <c r="DX817" s="3"/>
      <c r="DY817" s="3"/>
      <c r="DZ817" s="3"/>
      <c r="EA817" s="3"/>
      <c r="EB817" s="3"/>
      <c r="EC817" s="3"/>
      <c r="ED817" s="3"/>
      <c r="EE817" s="3"/>
      <c r="EF817" s="3"/>
      <c r="EG817" s="3"/>
      <c r="EH817" s="3"/>
      <c r="EI817" s="3"/>
      <c r="EJ817" s="3"/>
      <c r="EK817" s="3"/>
      <c r="EL817" s="3"/>
      <c r="EM817" s="3"/>
      <c r="EN817" s="3"/>
      <c r="EO817" s="3"/>
      <c r="EP817" s="3"/>
      <c r="EQ817" s="3"/>
      <c r="ER817" s="3"/>
      <c r="ES817" s="3"/>
      <c r="ET817" s="3"/>
      <c r="EU817" s="3"/>
      <c r="EV817" s="3"/>
      <c r="EW817" s="3"/>
      <c r="EX817" s="3"/>
      <c r="EY817" s="3"/>
      <c r="EZ817" s="3"/>
      <c r="FA817" s="3"/>
      <c r="FB817" s="3"/>
      <c r="FC817" s="3"/>
      <c r="FD817" s="3"/>
      <c r="FE817" s="3"/>
      <c r="FF817" s="3"/>
      <c r="FG817" s="3"/>
      <c r="FH817" s="3"/>
      <c r="FI817" s="3"/>
      <c r="FJ817" s="3"/>
      <c r="FK817" s="3"/>
      <c r="FL817" s="3"/>
      <c r="FM817" s="3"/>
      <c r="FN817" s="3"/>
      <c r="FO817" s="3"/>
      <c r="FP817" s="3"/>
      <c r="FQ817" s="3"/>
      <c r="FR817" s="3"/>
      <c r="FS817" s="3"/>
      <c r="FT817" s="3"/>
      <c r="FU817" s="3"/>
      <c r="FV817" s="3"/>
      <c r="FW817" s="3"/>
      <c r="FX817" s="3"/>
      <c r="FY817" s="3"/>
      <c r="FZ817" s="3"/>
      <c r="GA817" s="3"/>
      <c r="GB817" s="3"/>
      <c r="GC817" s="3"/>
      <c r="GD817" s="3"/>
      <c r="GE817" s="3"/>
      <c r="GF817" s="3"/>
      <c r="GG817" s="3"/>
      <c r="GH817" s="3"/>
      <c r="GI817" s="3"/>
      <c r="GJ817" s="3"/>
      <c r="GK817" s="3"/>
      <c r="GL817" s="3"/>
      <c r="GM817" s="3"/>
      <c r="GN817" s="3"/>
      <c r="GO817" s="3"/>
      <c r="GP817" s="3"/>
      <c r="GQ817" s="3"/>
      <c r="GR817" s="3"/>
      <c r="GS817" s="3"/>
      <c r="GT817" s="3"/>
      <c r="GU817" s="3"/>
      <c r="GV817" s="3"/>
      <c r="GW817" s="3"/>
      <c r="GX817" s="3">
        <v>0</v>
      </c>
    </row>
    <row r="819" spans="1:206" x14ac:dyDescent="0.2">
      <c r="A819" s="4">
        <v>50</v>
      </c>
      <c r="B819" s="4">
        <v>0</v>
      </c>
      <c r="C819" s="4">
        <v>0</v>
      </c>
      <c r="D819" s="4">
        <v>1</v>
      </c>
      <c r="E819" s="4">
        <v>201</v>
      </c>
      <c r="F819" s="4">
        <f>ROUND(Source!O817,O819)</f>
        <v>1044491.17</v>
      </c>
      <c r="G819" s="4" t="s">
        <v>86</v>
      </c>
      <c r="H819" s="4" t="s">
        <v>87</v>
      </c>
      <c r="I819" s="4"/>
      <c r="J819" s="4"/>
      <c r="K819" s="4">
        <v>201</v>
      </c>
      <c r="L819" s="4">
        <v>1</v>
      </c>
      <c r="M819" s="4">
        <v>3</v>
      </c>
      <c r="N819" s="4" t="s">
        <v>3</v>
      </c>
      <c r="O819" s="4">
        <v>2</v>
      </c>
      <c r="P819" s="4"/>
      <c r="Q819" s="4"/>
      <c r="R819" s="4"/>
      <c r="S819" s="4"/>
      <c r="T819" s="4"/>
      <c r="U819" s="4"/>
      <c r="V819" s="4"/>
      <c r="W819" s="4">
        <v>537.58000000000004</v>
      </c>
      <c r="X819" s="4">
        <v>1</v>
      </c>
      <c r="Y819" s="4">
        <v>537.58000000000004</v>
      </c>
      <c r="Z819" s="4"/>
      <c r="AA819" s="4"/>
      <c r="AB819" s="4"/>
    </row>
    <row r="820" spans="1:206" x14ac:dyDescent="0.2">
      <c r="A820" s="4">
        <v>50</v>
      </c>
      <c r="B820" s="4">
        <v>0</v>
      </c>
      <c r="C820" s="4">
        <v>0</v>
      </c>
      <c r="D820" s="4">
        <v>1</v>
      </c>
      <c r="E820" s="4">
        <v>202</v>
      </c>
      <c r="F820" s="4">
        <f>ROUND(Source!P817,O820)</f>
        <v>154661.26</v>
      </c>
      <c r="G820" s="4" t="s">
        <v>88</v>
      </c>
      <c r="H820" s="4" t="s">
        <v>89</v>
      </c>
      <c r="I820" s="4"/>
      <c r="J820" s="4"/>
      <c r="K820" s="4">
        <v>202</v>
      </c>
      <c r="L820" s="4">
        <v>2</v>
      </c>
      <c r="M820" s="4">
        <v>3</v>
      </c>
      <c r="N820" s="4" t="s">
        <v>3</v>
      </c>
      <c r="O820" s="4">
        <v>2</v>
      </c>
      <c r="P820" s="4"/>
      <c r="Q820" s="4"/>
      <c r="R820" s="4"/>
      <c r="S820" s="4"/>
      <c r="T820" s="4"/>
      <c r="U820" s="4"/>
      <c r="V820" s="4"/>
      <c r="W820" s="4">
        <v>2.2599999999999998</v>
      </c>
      <c r="X820" s="4">
        <v>1</v>
      </c>
      <c r="Y820" s="4">
        <v>2.2599999999999998</v>
      </c>
      <c r="Z820" s="4"/>
      <c r="AA820" s="4"/>
      <c r="AB820" s="4"/>
    </row>
    <row r="821" spans="1:206" x14ac:dyDescent="0.2">
      <c r="A821" s="4">
        <v>50</v>
      </c>
      <c r="B821" s="4">
        <v>0</v>
      </c>
      <c r="C821" s="4">
        <v>0</v>
      </c>
      <c r="D821" s="4">
        <v>1</v>
      </c>
      <c r="E821" s="4">
        <v>222</v>
      </c>
      <c r="F821" s="4">
        <f>ROUND(Source!AO817,O821)</f>
        <v>0</v>
      </c>
      <c r="G821" s="4" t="s">
        <v>90</v>
      </c>
      <c r="H821" s="4" t="s">
        <v>91</v>
      </c>
      <c r="I821" s="4"/>
      <c r="J821" s="4"/>
      <c r="K821" s="4">
        <v>222</v>
      </c>
      <c r="L821" s="4">
        <v>3</v>
      </c>
      <c r="M821" s="4">
        <v>3</v>
      </c>
      <c r="N821" s="4" t="s">
        <v>3</v>
      </c>
      <c r="O821" s="4">
        <v>2</v>
      </c>
      <c r="P821" s="4"/>
      <c r="Q821" s="4"/>
      <c r="R821" s="4"/>
      <c r="S821" s="4"/>
      <c r="T821" s="4"/>
      <c r="U821" s="4"/>
      <c r="V821" s="4"/>
      <c r="W821" s="4">
        <v>0</v>
      </c>
      <c r="X821" s="4">
        <v>1</v>
      </c>
      <c r="Y821" s="4">
        <v>0</v>
      </c>
      <c r="Z821" s="4"/>
      <c r="AA821" s="4"/>
      <c r="AB821" s="4"/>
    </row>
    <row r="822" spans="1:206" x14ac:dyDescent="0.2">
      <c r="A822" s="4">
        <v>50</v>
      </c>
      <c r="B822" s="4">
        <v>0</v>
      </c>
      <c r="C822" s="4">
        <v>0</v>
      </c>
      <c r="D822" s="4">
        <v>1</v>
      </c>
      <c r="E822" s="4">
        <v>225</v>
      </c>
      <c r="F822" s="4">
        <f>ROUND(Source!AV817,O822)</f>
        <v>154661.26</v>
      </c>
      <c r="G822" s="4" t="s">
        <v>92</v>
      </c>
      <c r="H822" s="4" t="s">
        <v>93</v>
      </c>
      <c r="I822" s="4"/>
      <c r="J822" s="4"/>
      <c r="K822" s="4">
        <v>225</v>
      </c>
      <c r="L822" s="4">
        <v>4</v>
      </c>
      <c r="M822" s="4">
        <v>3</v>
      </c>
      <c r="N822" s="4" t="s">
        <v>3</v>
      </c>
      <c r="O822" s="4">
        <v>2</v>
      </c>
      <c r="P822" s="4"/>
      <c r="Q822" s="4"/>
      <c r="R822" s="4"/>
      <c r="S822" s="4"/>
      <c r="T822" s="4"/>
      <c r="U822" s="4"/>
      <c r="V822" s="4"/>
      <c r="W822" s="4">
        <v>2.2599999999999998</v>
      </c>
      <c r="X822" s="4">
        <v>1</v>
      </c>
      <c r="Y822" s="4">
        <v>2.2599999999999998</v>
      </c>
      <c r="Z822" s="4"/>
      <c r="AA822" s="4"/>
      <c r="AB822" s="4"/>
    </row>
    <row r="823" spans="1:206" x14ac:dyDescent="0.2">
      <c r="A823" s="4">
        <v>50</v>
      </c>
      <c r="B823" s="4">
        <v>0</v>
      </c>
      <c r="C823" s="4">
        <v>0</v>
      </c>
      <c r="D823" s="4">
        <v>1</v>
      </c>
      <c r="E823" s="4">
        <v>226</v>
      </c>
      <c r="F823" s="4">
        <f>ROUND(Source!AW817,O823)</f>
        <v>154661.26</v>
      </c>
      <c r="G823" s="4" t="s">
        <v>94</v>
      </c>
      <c r="H823" s="4" t="s">
        <v>95</v>
      </c>
      <c r="I823" s="4"/>
      <c r="J823" s="4"/>
      <c r="K823" s="4">
        <v>226</v>
      </c>
      <c r="L823" s="4">
        <v>5</v>
      </c>
      <c r="M823" s="4">
        <v>3</v>
      </c>
      <c r="N823" s="4" t="s">
        <v>3</v>
      </c>
      <c r="O823" s="4">
        <v>2</v>
      </c>
      <c r="P823" s="4"/>
      <c r="Q823" s="4"/>
      <c r="R823" s="4"/>
      <c r="S823" s="4"/>
      <c r="T823" s="4"/>
      <c r="U823" s="4"/>
      <c r="V823" s="4"/>
      <c r="W823" s="4">
        <v>2.2599999999999998</v>
      </c>
      <c r="X823" s="4">
        <v>1</v>
      </c>
      <c r="Y823" s="4">
        <v>2.2599999999999998</v>
      </c>
      <c r="Z823" s="4"/>
      <c r="AA823" s="4"/>
      <c r="AB823" s="4"/>
    </row>
    <row r="824" spans="1:206" x14ac:dyDescent="0.2">
      <c r="A824" s="4">
        <v>50</v>
      </c>
      <c r="B824" s="4">
        <v>0</v>
      </c>
      <c r="C824" s="4">
        <v>0</v>
      </c>
      <c r="D824" s="4">
        <v>1</v>
      </c>
      <c r="E824" s="4">
        <v>227</v>
      </c>
      <c r="F824" s="4">
        <f>ROUND(Source!AX817,O824)</f>
        <v>0</v>
      </c>
      <c r="G824" s="4" t="s">
        <v>96</v>
      </c>
      <c r="H824" s="4" t="s">
        <v>97</v>
      </c>
      <c r="I824" s="4"/>
      <c r="J824" s="4"/>
      <c r="K824" s="4">
        <v>227</v>
      </c>
      <c r="L824" s="4">
        <v>6</v>
      </c>
      <c r="M824" s="4">
        <v>3</v>
      </c>
      <c r="N824" s="4" t="s">
        <v>3</v>
      </c>
      <c r="O824" s="4">
        <v>2</v>
      </c>
      <c r="P824" s="4"/>
      <c r="Q824" s="4"/>
      <c r="R824" s="4"/>
      <c r="S824" s="4"/>
      <c r="T824" s="4"/>
      <c r="U824" s="4"/>
      <c r="V824" s="4"/>
      <c r="W824" s="4">
        <v>0</v>
      </c>
      <c r="X824" s="4">
        <v>1</v>
      </c>
      <c r="Y824" s="4">
        <v>0</v>
      </c>
      <c r="Z824" s="4"/>
      <c r="AA824" s="4"/>
      <c r="AB824" s="4"/>
    </row>
    <row r="825" spans="1:206" x14ac:dyDescent="0.2">
      <c r="A825" s="4">
        <v>50</v>
      </c>
      <c r="B825" s="4">
        <v>0</v>
      </c>
      <c r="C825" s="4">
        <v>0</v>
      </c>
      <c r="D825" s="4">
        <v>1</v>
      </c>
      <c r="E825" s="4">
        <v>228</v>
      </c>
      <c r="F825" s="4">
        <f>ROUND(Source!AY817,O825)</f>
        <v>154661.26</v>
      </c>
      <c r="G825" s="4" t="s">
        <v>98</v>
      </c>
      <c r="H825" s="4" t="s">
        <v>99</v>
      </c>
      <c r="I825" s="4"/>
      <c r="J825" s="4"/>
      <c r="K825" s="4">
        <v>228</v>
      </c>
      <c r="L825" s="4">
        <v>7</v>
      </c>
      <c r="M825" s="4">
        <v>3</v>
      </c>
      <c r="N825" s="4" t="s">
        <v>3</v>
      </c>
      <c r="O825" s="4">
        <v>2</v>
      </c>
      <c r="P825" s="4"/>
      <c r="Q825" s="4"/>
      <c r="R825" s="4"/>
      <c r="S825" s="4"/>
      <c r="T825" s="4"/>
      <c r="U825" s="4"/>
      <c r="V825" s="4"/>
      <c r="W825" s="4">
        <v>2.2599999999999998</v>
      </c>
      <c r="X825" s="4">
        <v>1</v>
      </c>
      <c r="Y825" s="4">
        <v>2.2599999999999998</v>
      </c>
      <c r="Z825" s="4"/>
      <c r="AA825" s="4"/>
      <c r="AB825" s="4"/>
    </row>
    <row r="826" spans="1:206" x14ac:dyDescent="0.2">
      <c r="A826" s="4">
        <v>50</v>
      </c>
      <c r="B826" s="4">
        <v>0</v>
      </c>
      <c r="C826" s="4">
        <v>0</v>
      </c>
      <c r="D826" s="4">
        <v>1</v>
      </c>
      <c r="E826" s="4">
        <v>216</v>
      </c>
      <c r="F826" s="4">
        <f>ROUND(Source!AP817,O826)</f>
        <v>0</v>
      </c>
      <c r="G826" s="4" t="s">
        <v>100</v>
      </c>
      <c r="H826" s="4" t="s">
        <v>101</v>
      </c>
      <c r="I826" s="4"/>
      <c r="J826" s="4"/>
      <c r="K826" s="4">
        <v>216</v>
      </c>
      <c r="L826" s="4">
        <v>8</v>
      </c>
      <c r="M826" s="4">
        <v>3</v>
      </c>
      <c r="N826" s="4" t="s">
        <v>3</v>
      </c>
      <c r="O826" s="4">
        <v>2</v>
      </c>
      <c r="P826" s="4"/>
      <c r="Q826" s="4"/>
      <c r="R826" s="4"/>
      <c r="S826" s="4"/>
      <c r="T826" s="4"/>
      <c r="U826" s="4"/>
      <c r="V826" s="4"/>
      <c r="W826" s="4">
        <v>0</v>
      </c>
      <c r="X826" s="4">
        <v>1</v>
      </c>
      <c r="Y826" s="4">
        <v>0</v>
      </c>
      <c r="Z826" s="4"/>
      <c r="AA826" s="4"/>
      <c r="AB826" s="4"/>
    </row>
    <row r="827" spans="1:206" x14ac:dyDescent="0.2">
      <c r="A827" s="4">
        <v>50</v>
      </c>
      <c r="B827" s="4">
        <v>0</v>
      </c>
      <c r="C827" s="4">
        <v>0</v>
      </c>
      <c r="D827" s="4">
        <v>1</v>
      </c>
      <c r="E827" s="4">
        <v>223</v>
      </c>
      <c r="F827" s="4">
        <f>ROUND(Source!AQ817,O827)</f>
        <v>0</v>
      </c>
      <c r="G827" s="4" t="s">
        <v>102</v>
      </c>
      <c r="H827" s="4" t="s">
        <v>103</v>
      </c>
      <c r="I827" s="4"/>
      <c r="J827" s="4"/>
      <c r="K827" s="4">
        <v>223</v>
      </c>
      <c r="L827" s="4">
        <v>9</v>
      </c>
      <c r="M827" s="4">
        <v>3</v>
      </c>
      <c r="N827" s="4" t="s">
        <v>3</v>
      </c>
      <c r="O827" s="4">
        <v>2</v>
      </c>
      <c r="P827" s="4"/>
      <c r="Q827" s="4"/>
      <c r="R827" s="4"/>
      <c r="S827" s="4"/>
      <c r="T827" s="4"/>
      <c r="U827" s="4"/>
      <c r="V827" s="4"/>
      <c r="W827" s="4">
        <v>0</v>
      </c>
      <c r="X827" s="4">
        <v>1</v>
      </c>
      <c r="Y827" s="4">
        <v>0</v>
      </c>
      <c r="Z827" s="4"/>
      <c r="AA827" s="4"/>
      <c r="AB827" s="4"/>
    </row>
    <row r="828" spans="1:206" x14ac:dyDescent="0.2">
      <c r="A828" s="4">
        <v>50</v>
      </c>
      <c r="B828" s="4">
        <v>0</v>
      </c>
      <c r="C828" s="4">
        <v>0</v>
      </c>
      <c r="D828" s="4">
        <v>1</v>
      </c>
      <c r="E828" s="4">
        <v>229</v>
      </c>
      <c r="F828" s="4">
        <f>ROUND(Source!AZ817,O828)</f>
        <v>0</v>
      </c>
      <c r="G828" s="4" t="s">
        <v>104</v>
      </c>
      <c r="H828" s="4" t="s">
        <v>105</v>
      </c>
      <c r="I828" s="4"/>
      <c r="J828" s="4"/>
      <c r="K828" s="4">
        <v>229</v>
      </c>
      <c r="L828" s="4">
        <v>10</v>
      </c>
      <c r="M828" s="4">
        <v>3</v>
      </c>
      <c r="N828" s="4" t="s">
        <v>3</v>
      </c>
      <c r="O828" s="4">
        <v>2</v>
      </c>
      <c r="P828" s="4"/>
      <c r="Q828" s="4"/>
      <c r="R828" s="4"/>
      <c r="S828" s="4"/>
      <c r="T828" s="4"/>
      <c r="U828" s="4"/>
      <c r="V828" s="4"/>
      <c r="W828" s="4">
        <v>0</v>
      </c>
      <c r="X828" s="4">
        <v>1</v>
      </c>
      <c r="Y828" s="4">
        <v>0</v>
      </c>
      <c r="Z828" s="4"/>
      <c r="AA828" s="4"/>
      <c r="AB828" s="4"/>
    </row>
    <row r="829" spans="1:206" x14ac:dyDescent="0.2">
      <c r="A829" s="4">
        <v>50</v>
      </c>
      <c r="B829" s="4">
        <v>0</v>
      </c>
      <c r="C829" s="4">
        <v>0</v>
      </c>
      <c r="D829" s="4">
        <v>1</v>
      </c>
      <c r="E829" s="4">
        <v>203</v>
      </c>
      <c r="F829" s="4">
        <f>ROUND(Source!Q817,O829)</f>
        <v>50114.39</v>
      </c>
      <c r="G829" s="4" t="s">
        <v>106</v>
      </c>
      <c r="H829" s="4" t="s">
        <v>107</v>
      </c>
      <c r="I829" s="4"/>
      <c r="J829" s="4"/>
      <c r="K829" s="4">
        <v>203</v>
      </c>
      <c r="L829" s="4">
        <v>11</v>
      </c>
      <c r="M829" s="4">
        <v>3</v>
      </c>
      <c r="N829" s="4" t="s">
        <v>3</v>
      </c>
      <c r="O829" s="4">
        <v>2</v>
      </c>
      <c r="P829" s="4"/>
      <c r="Q829" s="4"/>
      <c r="R829" s="4"/>
      <c r="S829" s="4"/>
      <c r="T829" s="4"/>
      <c r="U829" s="4"/>
      <c r="V829" s="4"/>
      <c r="W829" s="4">
        <v>0</v>
      </c>
      <c r="X829" s="4">
        <v>1</v>
      </c>
      <c r="Y829" s="4">
        <v>0</v>
      </c>
      <c r="Z829" s="4"/>
      <c r="AA829" s="4"/>
      <c r="AB829" s="4"/>
    </row>
    <row r="830" spans="1:206" x14ac:dyDescent="0.2">
      <c r="A830" s="4">
        <v>50</v>
      </c>
      <c r="B830" s="4">
        <v>0</v>
      </c>
      <c r="C830" s="4">
        <v>0</v>
      </c>
      <c r="D830" s="4">
        <v>1</v>
      </c>
      <c r="E830" s="4">
        <v>231</v>
      </c>
      <c r="F830" s="4">
        <f>ROUND(Source!BB817,O830)</f>
        <v>0</v>
      </c>
      <c r="G830" s="4" t="s">
        <v>108</v>
      </c>
      <c r="H830" s="4" t="s">
        <v>109</v>
      </c>
      <c r="I830" s="4"/>
      <c r="J830" s="4"/>
      <c r="K830" s="4">
        <v>231</v>
      </c>
      <c r="L830" s="4">
        <v>12</v>
      </c>
      <c r="M830" s="4">
        <v>3</v>
      </c>
      <c r="N830" s="4" t="s">
        <v>3</v>
      </c>
      <c r="O830" s="4">
        <v>2</v>
      </c>
      <c r="P830" s="4"/>
      <c r="Q830" s="4"/>
      <c r="R830" s="4"/>
      <c r="S830" s="4"/>
      <c r="T830" s="4"/>
      <c r="U830" s="4"/>
      <c r="V830" s="4"/>
      <c r="W830" s="4">
        <v>0</v>
      </c>
      <c r="X830" s="4">
        <v>1</v>
      </c>
      <c r="Y830" s="4">
        <v>0</v>
      </c>
      <c r="Z830" s="4"/>
      <c r="AA830" s="4"/>
      <c r="AB830" s="4"/>
    </row>
    <row r="831" spans="1:206" x14ac:dyDescent="0.2">
      <c r="A831" s="4">
        <v>50</v>
      </c>
      <c r="B831" s="4">
        <v>0</v>
      </c>
      <c r="C831" s="4">
        <v>0</v>
      </c>
      <c r="D831" s="4">
        <v>1</v>
      </c>
      <c r="E831" s="4">
        <v>204</v>
      </c>
      <c r="F831" s="4">
        <f>ROUND(Source!R817,O831)</f>
        <v>31304.959999999999</v>
      </c>
      <c r="G831" s="4" t="s">
        <v>110</v>
      </c>
      <c r="H831" s="4" t="s">
        <v>111</v>
      </c>
      <c r="I831" s="4"/>
      <c r="J831" s="4"/>
      <c r="K831" s="4">
        <v>204</v>
      </c>
      <c r="L831" s="4">
        <v>13</v>
      </c>
      <c r="M831" s="4">
        <v>3</v>
      </c>
      <c r="N831" s="4" t="s">
        <v>3</v>
      </c>
      <c r="O831" s="4">
        <v>2</v>
      </c>
      <c r="P831" s="4"/>
      <c r="Q831" s="4"/>
      <c r="R831" s="4"/>
      <c r="S831" s="4"/>
      <c r="T831" s="4"/>
      <c r="U831" s="4"/>
      <c r="V831" s="4"/>
      <c r="W831" s="4">
        <v>0</v>
      </c>
      <c r="X831" s="4">
        <v>1</v>
      </c>
      <c r="Y831" s="4">
        <v>0</v>
      </c>
      <c r="Z831" s="4"/>
      <c r="AA831" s="4"/>
      <c r="AB831" s="4"/>
    </row>
    <row r="832" spans="1:206" x14ac:dyDescent="0.2">
      <c r="A832" s="4">
        <v>50</v>
      </c>
      <c r="B832" s="4">
        <v>0</v>
      </c>
      <c r="C832" s="4">
        <v>0</v>
      </c>
      <c r="D832" s="4">
        <v>1</v>
      </c>
      <c r="E832" s="4">
        <v>205</v>
      </c>
      <c r="F832" s="4">
        <f>ROUND(Source!S817,O832)</f>
        <v>839715.52</v>
      </c>
      <c r="G832" s="4" t="s">
        <v>112</v>
      </c>
      <c r="H832" s="4" t="s">
        <v>113</v>
      </c>
      <c r="I832" s="4"/>
      <c r="J832" s="4"/>
      <c r="K832" s="4">
        <v>205</v>
      </c>
      <c r="L832" s="4">
        <v>14</v>
      </c>
      <c r="M832" s="4">
        <v>3</v>
      </c>
      <c r="N832" s="4" t="s">
        <v>3</v>
      </c>
      <c r="O832" s="4">
        <v>2</v>
      </c>
      <c r="P832" s="4"/>
      <c r="Q832" s="4"/>
      <c r="R832" s="4"/>
      <c r="S832" s="4"/>
      <c r="T832" s="4"/>
      <c r="U832" s="4"/>
      <c r="V832" s="4"/>
      <c r="W832" s="4">
        <v>535.32000000000005</v>
      </c>
      <c r="X832" s="4">
        <v>1</v>
      </c>
      <c r="Y832" s="4">
        <v>535.32000000000005</v>
      </c>
      <c r="Z832" s="4"/>
      <c r="AA832" s="4"/>
      <c r="AB832" s="4"/>
    </row>
    <row r="833" spans="1:28" x14ac:dyDescent="0.2">
      <c r="A833" s="4">
        <v>50</v>
      </c>
      <c r="B833" s="4">
        <v>0</v>
      </c>
      <c r="C833" s="4">
        <v>0</v>
      </c>
      <c r="D833" s="4">
        <v>1</v>
      </c>
      <c r="E833" s="4">
        <v>232</v>
      </c>
      <c r="F833" s="4">
        <f>ROUND(Source!BC817,O833)</f>
        <v>0</v>
      </c>
      <c r="G833" s="4" t="s">
        <v>114</v>
      </c>
      <c r="H833" s="4" t="s">
        <v>115</v>
      </c>
      <c r="I833" s="4"/>
      <c r="J833" s="4"/>
      <c r="K833" s="4">
        <v>232</v>
      </c>
      <c r="L833" s="4">
        <v>15</v>
      </c>
      <c r="M833" s="4">
        <v>3</v>
      </c>
      <c r="N833" s="4" t="s">
        <v>3</v>
      </c>
      <c r="O833" s="4">
        <v>2</v>
      </c>
      <c r="P833" s="4"/>
      <c r="Q833" s="4"/>
      <c r="R833" s="4"/>
      <c r="S833" s="4"/>
      <c r="T833" s="4"/>
      <c r="U833" s="4"/>
      <c r="V833" s="4"/>
      <c r="W833" s="4">
        <v>0</v>
      </c>
      <c r="X833" s="4">
        <v>1</v>
      </c>
      <c r="Y833" s="4">
        <v>0</v>
      </c>
      <c r="Z833" s="4"/>
      <c r="AA833" s="4"/>
      <c r="AB833" s="4"/>
    </row>
    <row r="834" spans="1:28" x14ac:dyDescent="0.2">
      <c r="A834" s="4">
        <v>50</v>
      </c>
      <c r="B834" s="4">
        <v>0</v>
      </c>
      <c r="C834" s="4">
        <v>0</v>
      </c>
      <c r="D834" s="4">
        <v>1</v>
      </c>
      <c r="E834" s="4">
        <v>214</v>
      </c>
      <c r="F834" s="4">
        <f>ROUND(Source!AS817,O834)</f>
        <v>0</v>
      </c>
      <c r="G834" s="4" t="s">
        <v>116</v>
      </c>
      <c r="H834" s="4" t="s">
        <v>117</v>
      </c>
      <c r="I834" s="4"/>
      <c r="J834" s="4"/>
      <c r="K834" s="4">
        <v>214</v>
      </c>
      <c r="L834" s="4">
        <v>16</v>
      </c>
      <c r="M834" s="4">
        <v>3</v>
      </c>
      <c r="N834" s="4" t="s">
        <v>3</v>
      </c>
      <c r="O834" s="4">
        <v>2</v>
      </c>
      <c r="P834" s="4"/>
      <c r="Q834" s="4"/>
      <c r="R834" s="4"/>
      <c r="S834" s="4"/>
      <c r="T834" s="4"/>
      <c r="U834" s="4"/>
      <c r="V834" s="4"/>
      <c r="W834" s="4">
        <v>0</v>
      </c>
      <c r="X834" s="4">
        <v>1</v>
      </c>
      <c r="Y834" s="4">
        <v>0</v>
      </c>
      <c r="Z834" s="4"/>
      <c r="AA834" s="4"/>
      <c r="AB834" s="4"/>
    </row>
    <row r="835" spans="1:28" x14ac:dyDescent="0.2">
      <c r="A835" s="4">
        <v>50</v>
      </c>
      <c r="B835" s="4">
        <v>0</v>
      </c>
      <c r="C835" s="4">
        <v>0</v>
      </c>
      <c r="D835" s="4">
        <v>1</v>
      </c>
      <c r="E835" s="4">
        <v>215</v>
      </c>
      <c r="F835" s="4">
        <f>ROUND(Source!AT817,O835)</f>
        <v>0</v>
      </c>
      <c r="G835" s="4" t="s">
        <v>118</v>
      </c>
      <c r="H835" s="4" t="s">
        <v>119</v>
      </c>
      <c r="I835" s="4"/>
      <c r="J835" s="4"/>
      <c r="K835" s="4">
        <v>215</v>
      </c>
      <c r="L835" s="4">
        <v>17</v>
      </c>
      <c r="M835" s="4">
        <v>3</v>
      </c>
      <c r="N835" s="4" t="s">
        <v>3</v>
      </c>
      <c r="O835" s="4">
        <v>2</v>
      </c>
      <c r="P835" s="4"/>
      <c r="Q835" s="4"/>
      <c r="R835" s="4"/>
      <c r="S835" s="4"/>
      <c r="T835" s="4"/>
      <c r="U835" s="4"/>
      <c r="V835" s="4"/>
      <c r="W835" s="4">
        <v>0</v>
      </c>
      <c r="X835" s="4">
        <v>1</v>
      </c>
      <c r="Y835" s="4">
        <v>0</v>
      </c>
      <c r="Z835" s="4"/>
      <c r="AA835" s="4"/>
      <c r="AB835" s="4"/>
    </row>
    <row r="836" spans="1:28" x14ac:dyDescent="0.2">
      <c r="A836" s="4">
        <v>50</v>
      </c>
      <c r="B836" s="4">
        <v>0</v>
      </c>
      <c r="C836" s="4">
        <v>0</v>
      </c>
      <c r="D836" s="4">
        <v>1</v>
      </c>
      <c r="E836" s="4">
        <v>217</v>
      </c>
      <c r="F836" s="4">
        <f>ROUND(Source!AU817,O836)</f>
        <v>1750072.99</v>
      </c>
      <c r="G836" s="4" t="s">
        <v>120</v>
      </c>
      <c r="H836" s="4" t="s">
        <v>121</v>
      </c>
      <c r="I836" s="4"/>
      <c r="J836" s="4"/>
      <c r="K836" s="4">
        <v>217</v>
      </c>
      <c r="L836" s="4">
        <v>18</v>
      </c>
      <c r="M836" s="4">
        <v>3</v>
      </c>
      <c r="N836" s="4" t="s">
        <v>3</v>
      </c>
      <c r="O836" s="4">
        <v>2</v>
      </c>
      <c r="P836" s="4"/>
      <c r="Q836" s="4"/>
      <c r="R836" s="4"/>
      <c r="S836" s="4"/>
      <c r="T836" s="4"/>
      <c r="U836" s="4"/>
      <c r="V836" s="4"/>
      <c r="W836" s="4">
        <v>965.83</v>
      </c>
      <c r="X836" s="4">
        <v>1</v>
      </c>
      <c r="Y836" s="4">
        <v>965.83</v>
      </c>
      <c r="Z836" s="4"/>
      <c r="AA836" s="4"/>
      <c r="AB836" s="4"/>
    </row>
    <row r="837" spans="1:28" x14ac:dyDescent="0.2">
      <c r="A837" s="4">
        <v>50</v>
      </c>
      <c r="B837" s="4">
        <v>0</v>
      </c>
      <c r="C837" s="4">
        <v>0</v>
      </c>
      <c r="D837" s="4">
        <v>1</v>
      </c>
      <c r="E837" s="4">
        <v>230</v>
      </c>
      <c r="F837" s="4">
        <f>ROUND(Source!BA817,O837)</f>
        <v>0</v>
      </c>
      <c r="G837" s="4" t="s">
        <v>122</v>
      </c>
      <c r="H837" s="4" t="s">
        <v>123</v>
      </c>
      <c r="I837" s="4"/>
      <c r="J837" s="4"/>
      <c r="K837" s="4">
        <v>230</v>
      </c>
      <c r="L837" s="4">
        <v>19</v>
      </c>
      <c r="M837" s="4">
        <v>3</v>
      </c>
      <c r="N837" s="4" t="s">
        <v>3</v>
      </c>
      <c r="O837" s="4">
        <v>2</v>
      </c>
      <c r="P837" s="4"/>
      <c r="Q837" s="4"/>
      <c r="R837" s="4"/>
      <c r="S837" s="4"/>
      <c r="T837" s="4"/>
      <c r="U837" s="4"/>
      <c r="V837" s="4"/>
      <c r="W837" s="4">
        <v>0</v>
      </c>
      <c r="X837" s="4">
        <v>1</v>
      </c>
      <c r="Y837" s="4">
        <v>0</v>
      </c>
      <c r="Z837" s="4"/>
      <c r="AA837" s="4"/>
      <c r="AB837" s="4"/>
    </row>
    <row r="838" spans="1:28" x14ac:dyDescent="0.2">
      <c r="A838" s="4">
        <v>50</v>
      </c>
      <c r="B838" s="4">
        <v>0</v>
      </c>
      <c r="C838" s="4">
        <v>0</v>
      </c>
      <c r="D838" s="4">
        <v>1</v>
      </c>
      <c r="E838" s="4">
        <v>206</v>
      </c>
      <c r="F838" s="4">
        <f>ROUND(Source!T817,O838)</f>
        <v>0</v>
      </c>
      <c r="G838" s="4" t="s">
        <v>124</v>
      </c>
      <c r="H838" s="4" t="s">
        <v>125</v>
      </c>
      <c r="I838" s="4"/>
      <c r="J838" s="4"/>
      <c r="K838" s="4">
        <v>206</v>
      </c>
      <c r="L838" s="4">
        <v>20</v>
      </c>
      <c r="M838" s="4">
        <v>3</v>
      </c>
      <c r="N838" s="4" t="s">
        <v>3</v>
      </c>
      <c r="O838" s="4">
        <v>2</v>
      </c>
      <c r="P838" s="4"/>
      <c r="Q838" s="4"/>
      <c r="R838" s="4"/>
      <c r="S838" s="4"/>
      <c r="T838" s="4"/>
      <c r="U838" s="4"/>
      <c r="V838" s="4"/>
      <c r="W838" s="4">
        <v>0</v>
      </c>
      <c r="X838" s="4">
        <v>1</v>
      </c>
      <c r="Y838" s="4">
        <v>0</v>
      </c>
      <c r="Z838" s="4"/>
      <c r="AA838" s="4"/>
      <c r="AB838" s="4"/>
    </row>
    <row r="839" spans="1:28" x14ac:dyDescent="0.2">
      <c r="A839" s="4">
        <v>50</v>
      </c>
      <c r="B839" s="4">
        <v>0</v>
      </c>
      <c r="C839" s="4">
        <v>0</v>
      </c>
      <c r="D839" s="4">
        <v>1</v>
      </c>
      <c r="E839" s="4">
        <v>207</v>
      </c>
      <c r="F839" s="4">
        <f>Source!U817</f>
        <v>1393.3289999999997</v>
      </c>
      <c r="G839" s="4" t="s">
        <v>126</v>
      </c>
      <c r="H839" s="4" t="s">
        <v>127</v>
      </c>
      <c r="I839" s="4"/>
      <c r="J839" s="4"/>
      <c r="K839" s="4">
        <v>207</v>
      </c>
      <c r="L839" s="4">
        <v>21</v>
      </c>
      <c r="M839" s="4">
        <v>3</v>
      </c>
      <c r="N839" s="4" t="s">
        <v>3</v>
      </c>
      <c r="O839" s="4">
        <v>-1</v>
      </c>
      <c r="P839" s="4"/>
      <c r="Q839" s="4"/>
      <c r="R839" s="4"/>
      <c r="S839" s="4"/>
      <c r="T839" s="4"/>
      <c r="U839" s="4"/>
      <c r="V839" s="4"/>
      <c r="W839" s="4">
        <v>1</v>
      </c>
      <c r="X839" s="4">
        <v>1</v>
      </c>
      <c r="Y839" s="4">
        <v>1</v>
      </c>
      <c r="Z839" s="4"/>
      <c r="AA839" s="4"/>
      <c r="AB839" s="4"/>
    </row>
    <row r="840" spans="1:28" x14ac:dyDescent="0.2">
      <c r="A840" s="4">
        <v>50</v>
      </c>
      <c r="B840" s="4">
        <v>0</v>
      </c>
      <c r="C840" s="4">
        <v>0</v>
      </c>
      <c r="D840" s="4">
        <v>1</v>
      </c>
      <c r="E840" s="4">
        <v>208</v>
      </c>
      <c r="F840" s="4">
        <f>Source!V817</f>
        <v>0</v>
      </c>
      <c r="G840" s="4" t="s">
        <v>128</v>
      </c>
      <c r="H840" s="4" t="s">
        <v>129</v>
      </c>
      <c r="I840" s="4"/>
      <c r="J840" s="4"/>
      <c r="K840" s="4">
        <v>208</v>
      </c>
      <c r="L840" s="4">
        <v>22</v>
      </c>
      <c r="M840" s="4">
        <v>3</v>
      </c>
      <c r="N840" s="4" t="s">
        <v>3</v>
      </c>
      <c r="O840" s="4">
        <v>-1</v>
      </c>
      <c r="P840" s="4"/>
      <c r="Q840" s="4"/>
      <c r="R840" s="4"/>
      <c r="S840" s="4"/>
      <c r="T840" s="4"/>
      <c r="U840" s="4"/>
      <c r="V840" s="4"/>
      <c r="W840" s="4">
        <v>0</v>
      </c>
      <c r="X840" s="4">
        <v>1</v>
      </c>
      <c r="Y840" s="4">
        <v>0</v>
      </c>
      <c r="Z840" s="4"/>
      <c r="AA840" s="4"/>
      <c r="AB840" s="4"/>
    </row>
    <row r="841" spans="1:28" x14ac:dyDescent="0.2">
      <c r="A841" s="4">
        <v>50</v>
      </c>
      <c r="B841" s="4">
        <v>0</v>
      </c>
      <c r="C841" s="4">
        <v>0</v>
      </c>
      <c r="D841" s="4">
        <v>1</v>
      </c>
      <c r="E841" s="4">
        <v>209</v>
      </c>
      <c r="F841" s="4">
        <f>ROUND(Source!W817,O841)</f>
        <v>0</v>
      </c>
      <c r="G841" s="4" t="s">
        <v>130</v>
      </c>
      <c r="H841" s="4" t="s">
        <v>131</v>
      </c>
      <c r="I841" s="4"/>
      <c r="J841" s="4"/>
      <c r="K841" s="4">
        <v>209</v>
      </c>
      <c r="L841" s="4">
        <v>23</v>
      </c>
      <c r="M841" s="4">
        <v>3</v>
      </c>
      <c r="N841" s="4" t="s">
        <v>3</v>
      </c>
      <c r="O841" s="4">
        <v>2</v>
      </c>
      <c r="P841" s="4"/>
      <c r="Q841" s="4"/>
      <c r="R841" s="4"/>
      <c r="S841" s="4"/>
      <c r="T841" s="4"/>
      <c r="U841" s="4"/>
      <c r="V841" s="4"/>
      <c r="W841" s="4">
        <v>0</v>
      </c>
      <c r="X841" s="4">
        <v>1</v>
      </c>
      <c r="Y841" s="4">
        <v>0</v>
      </c>
      <c r="Z841" s="4"/>
      <c r="AA841" s="4"/>
      <c r="AB841" s="4"/>
    </row>
    <row r="842" spans="1:28" x14ac:dyDescent="0.2">
      <c r="A842" s="4">
        <v>50</v>
      </c>
      <c r="B842" s="4">
        <v>0</v>
      </c>
      <c r="C842" s="4">
        <v>0</v>
      </c>
      <c r="D842" s="4">
        <v>1</v>
      </c>
      <c r="E842" s="4">
        <v>233</v>
      </c>
      <c r="F842" s="4">
        <f>ROUND(Source!BD817,O842)</f>
        <v>0</v>
      </c>
      <c r="G842" s="4" t="s">
        <v>132</v>
      </c>
      <c r="H842" s="4" t="s">
        <v>133</v>
      </c>
      <c r="I842" s="4"/>
      <c r="J842" s="4"/>
      <c r="K842" s="4">
        <v>233</v>
      </c>
      <c r="L842" s="4">
        <v>24</v>
      </c>
      <c r="M842" s="4">
        <v>3</v>
      </c>
      <c r="N842" s="4" t="s">
        <v>3</v>
      </c>
      <c r="O842" s="4">
        <v>2</v>
      </c>
      <c r="P842" s="4"/>
      <c r="Q842" s="4"/>
      <c r="R842" s="4"/>
      <c r="S842" s="4"/>
      <c r="T842" s="4"/>
      <c r="U842" s="4"/>
      <c r="V842" s="4"/>
      <c r="W842" s="4">
        <v>0</v>
      </c>
      <c r="X842" s="4">
        <v>1</v>
      </c>
      <c r="Y842" s="4">
        <v>0</v>
      </c>
      <c r="Z842" s="4"/>
      <c r="AA842" s="4"/>
      <c r="AB842" s="4"/>
    </row>
    <row r="843" spans="1:28" x14ac:dyDescent="0.2">
      <c r="A843" s="4">
        <v>50</v>
      </c>
      <c r="B843" s="4">
        <v>0</v>
      </c>
      <c r="C843" s="4">
        <v>0</v>
      </c>
      <c r="D843" s="4">
        <v>1</v>
      </c>
      <c r="E843" s="4">
        <v>210</v>
      </c>
      <c r="F843" s="4">
        <f>ROUND(Source!X817,O843)</f>
        <v>587800.9</v>
      </c>
      <c r="G843" s="4" t="s">
        <v>134</v>
      </c>
      <c r="H843" s="4" t="s">
        <v>135</v>
      </c>
      <c r="I843" s="4"/>
      <c r="J843" s="4"/>
      <c r="K843" s="4">
        <v>210</v>
      </c>
      <c r="L843" s="4">
        <v>25</v>
      </c>
      <c r="M843" s="4">
        <v>3</v>
      </c>
      <c r="N843" s="4" t="s">
        <v>3</v>
      </c>
      <c r="O843" s="4">
        <v>2</v>
      </c>
      <c r="P843" s="4"/>
      <c r="Q843" s="4"/>
      <c r="R843" s="4"/>
      <c r="S843" s="4"/>
      <c r="T843" s="4"/>
      <c r="U843" s="4"/>
      <c r="V843" s="4"/>
      <c r="W843" s="4">
        <v>374.72</v>
      </c>
      <c r="X843" s="4">
        <v>1</v>
      </c>
      <c r="Y843" s="4">
        <v>374.72</v>
      </c>
      <c r="Z843" s="4"/>
      <c r="AA843" s="4"/>
      <c r="AB843" s="4"/>
    </row>
    <row r="844" spans="1:28" x14ac:dyDescent="0.2">
      <c r="A844" s="4">
        <v>50</v>
      </c>
      <c r="B844" s="4">
        <v>0</v>
      </c>
      <c r="C844" s="4">
        <v>0</v>
      </c>
      <c r="D844" s="4">
        <v>1</v>
      </c>
      <c r="E844" s="4">
        <v>211</v>
      </c>
      <c r="F844" s="4">
        <f>ROUND(Source!Y817,O844)</f>
        <v>83971.6</v>
      </c>
      <c r="G844" s="4" t="s">
        <v>136</v>
      </c>
      <c r="H844" s="4" t="s">
        <v>137</v>
      </c>
      <c r="I844" s="4"/>
      <c r="J844" s="4"/>
      <c r="K844" s="4">
        <v>211</v>
      </c>
      <c r="L844" s="4">
        <v>26</v>
      </c>
      <c r="M844" s="4">
        <v>3</v>
      </c>
      <c r="N844" s="4" t="s">
        <v>3</v>
      </c>
      <c r="O844" s="4">
        <v>2</v>
      </c>
      <c r="P844" s="4"/>
      <c r="Q844" s="4"/>
      <c r="R844" s="4"/>
      <c r="S844" s="4"/>
      <c r="T844" s="4"/>
      <c r="U844" s="4"/>
      <c r="V844" s="4"/>
      <c r="W844" s="4">
        <v>53.53</v>
      </c>
      <c r="X844" s="4">
        <v>1</v>
      </c>
      <c r="Y844" s="4">
        <v>53.53</v>
      </c>
      <c r="Z844" s="4"/>
      <c r="AA844" s="4"/>
      <c r="AB844" s="4"/>
    </row>
    <row r="845" spans="1:28" x14ac:dyDescent="0.2">
      <c r="A845" s="4">
        <v>50</v>
      </c>
      <c r="B845" s="4">
        <v>0</v>
      </c>
      <c r="C845" s="4">
        <v>0</v>
      </c>
      <c r="D845" s="4">
        <v>1</v>
      </c>
      <c r="E845" s="4">
        <v>224</v>
      </c>
      <c r="F845" s="4">
        <f>ROUND(Source!AR817,O845)</f>
        <v>1750072.99</v>
      </c>
      <c r="G845" s="4" t="s">
        <v>138</v>
      </c>
      <c r="H845" s="4" t="s">
        <v>139</v>
      </c>
      <c r="I845" s="4"/>
      <c r="J845" s="4"/>
      <c r="K845" s="4">
        <v>224</v>
      </c>
      <c r="L845" s="4">
        <v>27</v>
      </c>
      <c r="M845" s="4">
        <v>3</v>
      </c>
      <c r="N845" s="4" t="s">
        <v>3</v>
      </c>
      <c r="O845" s="4">
        <v>2</v>
      </c>
      <c r="P845" s="4"/>
      <c r="Q845" s="4"/>
      <c r="R845" s="4"/>
      <c r="S845" s="4"/>
      <c r="T845" s="4"/>
      <c r="U845" s="4"/>
      <c r="V845" s="4"/>
      <c r="W845" s="4">
        <v>965.83</v>
      </c>
      <c r="X845" s="4">
        <v>1</v>
      </c>
      <c r="Y845" s="4">
        <v>965.83</v>
      </c>
      <c r="Z845" s="4"/>
      <c r="AA845" s="4"/>
      <c r="AB845" s="4"/>
    </row>
    <row r="846" spans="1:28" x14ac:dyDescent="0.2">
      <c r="A846" s="4">
        <v>50</v>
      </c>
      <c r="B846" s="4">
        <v>0</v>
      </c>
      <c r="C846" s="4">
        <v>0</v>
      </c>
      <c r="D846" s="4">
        <v>2</v>
      </c>
      <c r="E846" s="4">
        <v>0</v>
      </c>
      <c r="F846" s="4">
        <f>ROUND(F845,O846)</f>
        <v>1750072.99</v>
      </c>
      <c r="G846" s="4" t="s">
        <v>345</v>
      </c>
      <c r="H846" s="4" t="s">
        <v>346</v>
      </c>
      <c r="I846" s="4"/>
      <c r="J846" s="4"/>
      <c r="K846" s="4">
        <v>212</v>
      </c>
      <c r="L846" s="4">
        <v>28</v>
      </c>
      <c r="M846" s="4">
        <v>0</v>
      </c>
      <c r="N846" s="4" t="s">
        <v>3</v>
      </c>
      <c r="O846" s="4">
        <v>2</v>
      </c>
      <c r="P846" s="4"/>
      <c r="Q846" s="4"/>
      <c r="R846" s="4"/>
      <c r="S846" s="4"/>
      <c r="T846" s="4"/>
      <c r="U846" s="4"/>
      <c r="V846" s="4"/>
      <c r="W846" s="4">
        <v>965.83</v>
      </c>
      <c r="X846" s="4">
        <v>1</v>
      </c>
      <c r="Y846" s="4">
        <v>965.83</v>
      </c>
      <c r="Z846" s="4"/>
      <c r="AA846" s="4"/>
      <c r="AB846" s="4"/>
    </row>
    <row r="847" spans="1:28" x14ac:dyDescent="0.2">
      <c r="A847" s="4">
        <v>50</v>
      </c>
      <c r="B847" s="4">
        <v>0</v>
      </c>
      <c r="C847" s="4">
        <v>0</v>
      </c>
      <c r="D847" s="4">
        <v>2</v>
      </c>
      <c r="E847" s="4">
        <v>0</v>
      </c>
      <c r="F847" s="4">
        <f>ROUND(F846*0.22,O847)</f>
        <v>385016.06</v>
      </c>
      <c r="G847" s="4" t="s">
        <v>347</v>
      </c>
      <c r="H847" s="4" t="s">
        <v>514</v>
      </c>
      <c r="I847" s="4"/>
      <c r="J847" s="4"/>
      <c r="K847" s="4">
        <v>212</v>
      </c>
      <c r="L847" s="4">
        <v>29</v>
      </c>
      <c r="M847" s="4">
        <v>0</v>
      </c>
      <c r="N847" s="4" t="s">
        <v>3</v>
      </c>
      <c r="O847" s="4">
        <v>2</v>
      </c>
      <c r="P847" s="4"/>
      <c r="Q847" s="4"/>
      <c r="R847" s="4"/>
      <c r="S847" s="4"/>
      <c r="T847" s="4"/>
      <c r="U847" s="4"/>
      <c r="V847" s="4"/>
      <c r="W847" s="4">
        <v>193.17</v>
      </c>
      <c r="X847" s="4">
        <v>1</v>
      </c>
      <c r="Y847" s="4">
        <v>193.17</v>
      </c>
      <c r="Z847" s="4"/>
      <c r="AA847" s="4"/>
      <c r="AB847" s="4"/>
    </row>
    <row r="848" spans="1:28" x14ac:dyDescent="0.2">
      <c r="A848" s="4">
        <v>50</v>
      </c>
      <c r="B848" s="4">
        <v>0</v>
      </c>
      <c r="C848" s="4">
        <v>0</v>
      </c>
      <c r="D848" s="4">
        <v>2</v>
      </c>
      <c r="E848" s="4">
        <v>0</v>
      </c>
      <c r="F848" s="4">
        <f>ROUND(F846+F847,O848)</f>
        <v>2135089.0499999998</v>
      </c>
      <c r="G848" s="4" t="s">
        <v>349</v>
      </c>
      <c r="H848" s="4" t="s">
        <v>350</v>
      </c>
      <c r="I848" s="4"/>
      <c r="J848" s="4"/>
      <c r="K848" s="4">
        <v>212</v>
      </c>
      <c r="L848" s="4">
        <v>30</v>
      </c>
      <c r="M848" s="4">
        <v>0</v>
      </c>
      <c r="N848" s="4" t="s">
        <v>3</v>
      </c>
      <c r="O848" s="4">
        <v>2</v>
      </c>
      <c r="P848" s="4"/>
      <c r="Q848" s="4"/>
      <c r="R848" s="4"/>
      <c r="S848" s="4"/>
      <c r="T848" s="4"/>
      <c r="U848" s="4"/>
      <c r="V848" s="4"/>
      <c r="W848" s="4">
        <v>1159</v>
      </c>
      <c r="X848" s="4">
        <v>1</v>
      </c>
      <c r="Y848" s="4">
        <v>1159</v>
      </c>
      <c r="Z848" s="4"/>
      <c r="AA848" s="4"/>
      <c r="AB848" s="4"/>
    </row>
    <row r="850" spans="1:15" x14ac:dyDescent="0.2">
      <c r="A850" s="5">
        <v>61</v>
      </c>
      <c r="B850" s="5"/>
      <c r="C850" s="5"/>
      <c r="D850" s="5"/>
      <c r="E850" s="5"/>
      <c r="F850" s="5">
        <v>0</v>
      </c>
      <c r="G850" s="5" t="s">
        <v>3</v>
      </c>
      <c r="H850" s="5" t="s">
        <v>3</v>
      </c>
    </row>
    <row r="851" spans="1:15" x14ac:dyDescent="0.2">
      <c r="A851" s="5">
        <v>61</v>
      </c>
      <c r="B851" s="5"/>
      <c r="C851" s="5"/>
      <c r="D851" s="5"/>
      <c r="E851" s="5"/>
      <c r="F851" s="5">
        <v>0</v>
      </c>
      <c r="G851" s="5" t="s">
        <v>351</v>
      </c>
      <c r="H851" s="5" t="s">
        <v>352</v>
      </c>
    </row>
    <row r="854" spans="1:15" x14ac:dyDescent="0.2">
      <c r="A854">
        <v>-1</v>
      </c>
    </row>
    <row r="856" spans="1:15" x14ac:dyDescent="0.2">
      <c r="A856" s="3">
        <v>75</v>
      </c>
      <c r="B856" s="3" t="s">
        <v>353</v>
      </c>
      <c r="C856" s="3">
        <v>2025</v>
      </c>
      <c r="D856" s="3">
        <v>0</v>
      </c>
      <c r="E856" s="3">
        <v>10</v>
      </c>
      <c r="F856" s="3">
        <v>0</v>
      </c>
      <c r="G856" s="3">
        <v>0</v>
      </c>
      <c r="H856" s="3">
        <v>1</v>
      </c>
      <c r="I856" s="3">
        <v>0</v>
      </c>
      <c r="J856" s="3">
        <v>1</v>
      </c>
      <c r="K856" s="3">
        <v>78</v>
      </c>
      <c r="L856" s="3">
        <v>30</v>
      </c>
      <c r="M856" s="3">
        <v>0</v>
      </c>
      <c r="N856" s="3">
        <v>1471531721</v>
      </c>
      <c r="O856" s="3">
        <v>1</v>
      </c>
    </row>
    <row r="860" spans="1:15" x14ac:dyDescent="0.2">
      <c r="A860">
        <v>65</v>
      </c>
      <c r="C860">
        <v>1</v>
      </c>
      <c r="D860">
        <v>0</v>
      </c>
      <c r="E86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354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1471531721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ROUND((Source!F804)/1000,2)</f>
        <v>0</v>
      </c>
      <c r="F16" s="7">
        <f>ROUND((Source!F805)/1000,2)</f>
        <v>0</v>
      </c>
      <c r="G16" s="7">
        <f>ROUND((Source!F796)/1000,2)</f>
        <v>0</v>
      </c>
      <c r="H16" s="7">
        <f>ROUND((Source!F806)/1000+(Source!F807)/1000,2)</f>
        <v>1750.07</v>
      </c>
      <c r="I16" s="7">
        <f>E16+F16+G16+H16</f>
        <v>1750.07</v>
      </c>
      <c r="J16" s="7">
        <f>ROUND((Source!F802+Source!F801)/1000,2)</f>
        <v>871.02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537.58000000000004</v>
      </c>
      <c r="AU16" s="7">
        <v>2.2599999999999998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535.32000000000005</v>
      </c>
      <c r="BB16" s="7">
        <v>0</v>
      </c>
      <c r="BC16" s="7">
        <v>0</v>
      </c>
      <c r="BD16" s="7">
        <v>965.83</v>
      </c>
      <c r="BE16" s="7">
        <v>0</v>
      </c>
      <c r="BF16" s="7">
        <v>1</v>
      </c>
      <c r="BG16" s="7">
        <v>0</v>
      </c>
      <c r="BH16" s="7">
        <v>0</v>
      </c>
      <c r="BI16" s="7">
        <v>374.72</v>
      </c>
      <c r="BJ16" s="7">
        <v>53.53</v>
      </c>
      <c r="BK16" s="7">
        <v>965.83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1750.07</v>
      </c>
      <c r="I18" s="5">
        <f>SUMIF(A16:A17,3,I16:I17)</f>
        <v>1750.07</v>
      </c>
      <c r="J18" s="5">
        <f>SUMIF(A16:A17,3,J16:J17)</f>
        <v>871.02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537.58000000000004</v>
      </c>
      <c r="G20" s="4" t="s">
        <v>86</v>
      </c>
      <c r="H20" s="4" t="s">
        <v>87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2.2599999999999998</v>
      </c>
      <c r="G21" s="4" t="s">
        <v>88</v>
      </c>
      <c r="H21" s="4" t="s">
        <v>89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90</v>
      </c>
      <c r="H22" s="4" t="s">
        <v>91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2.2599999999999998</v>
      </c>
      <c r="G23" s="4" t="s">
        <v>92</v>
      </c>
      <c r="H23" s="4" t="s">
        <v>93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2.2599999999999998</v>
      </c>
      <c r="G24" s="4" t="s">
        <v>94</v>
      </c>
      <c r="H24" s="4" t="s">
        <v>95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96</v>
      </c>
      <c r="H25" s="4" t="s">
        <v>97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2.2599999999999998</v>
      </c>
      <c r="G26" s="4" t="s">
        <v>98</v>
      </c>
      <c r="H26" s="4" t="s">
        <v>99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100</v>
      </c>
      <c r="H27" s="4" t="s">
        <v>101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102</v>
      </c>
      <c r="H28" s="4" t="s">
        <v>103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104</v>
      </c>
      <c r="H29" s="4" t="s">
        <v>105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106</v>
      </c>
      <c r="H30" s="4" t="s">
        <v>107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108</v>
      </c>
      <c r="H31" s="4" t="s">
        <v>109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110</v>
      </c>
      <c r="H32" s="4" t="s">
        <v>111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535.32000000000005</v>
      </c>
      <c r="G33" s="4" t="s">
        <v>112</v>
      </c>
      <c r="H33" s="4" t="s">
        <v>113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114</v>
      </c>
      <c r="H34" s="4" t="s">
        <v>115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116</v>
      </c>
      <c r="H35" s="4" t="s">
        <v>117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118</v>
      </c>
      <c r="H36" s="4" t="s">
        <v>119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965.83</v>
      </c>
      <c r="G37" s="4" t="s">
        <v>120</v>
      </c>
      <c r="H37" s="4" t="s">
        <v>121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122</v>
      </c>
      <c r="H38" s="4" t="s">
        <v>123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124</v>
      </c>
      <c r="H39" s="4" t="s">
        <v>125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</v>
      </c>
      <c r="G40" s="4" t="s">
        <v>126</v>
      </c>
      <c r="H40" s="4" t="s">
        <v>127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128</v>
      </c>
      <c r="H41" s="4" t="s">
        <v>129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130</v>
      </c>
      <c r="H42" s="4" t="s">
        <v>131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132</v>
      </c>
      <c r="H43" s="4" t="s">
        <v>133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374.72</v>
      </c>
      <c r="G44" s="4" t="s">
        <v>134</v>
      </c>
      <c r="H44" s="4" t="s">
        <v>135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53.53</v>
      </c>
      <c r="G45" s="4" t="s">
        <v>136</v>
      </c>
      <c r="H45" s="4" t="s">
        <v>137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965.83</v>
      </c>
      <c r="G46" s="4" t="s">
        <v>138</v>
      </c>
      <c r="H46" s="4" t="s">
        <v>139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2</v>
      </c>
      <c r="E47" s="4">
        <v>0</v>
      </c>
      <c r="F47" s="4">
        <v>965.83</v>
      </c>
      <c r="G47" s="4" t="s">
        <v>345</v>
      </c>
      <c r="H47" s="4" t="s">
        <v>346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2</v>
      </c>
      <c r="E48" s="4">
        <v>0</v>
      </c>
      <c r="F48" s="4">
        <v>193.17</v>
      </c>
      <c r="G48" s="4" t="s">
        <v>347</v>
      </c>
      <c r="H48" s="4" t="s">
        <v>348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0</v>
      </c>
      <c r="C49" s="4">
        <v>0</v>
      </c>
      <c r="D49" s="4">
        <v>2</v>
      </c>
      <c r="E49" s="4">
        <v>0</v>
      </c>
      <c r="F49" s="4">
        <v>1159</v>
      </c>
      <c r="G49" s="4" t="s">
        <v>349</v>
      </c>
      <c r="H49" s="4" t="s">
        <v>350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353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1471531721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46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1474089745</v>
      </c>
      <c r="C1">
        <v>1471519710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355</v>
      </c>
      <c r="J1" t="s">
        <v>3</v>
      </c>
      <c r="K1" t="s">
        <v>356</v>
      </c>
      <c r="L1">
        <v>1191</v>
      </c>
      <c r="N1">
        <v>1013</v>
      </c>
      <c r="O1" t="s">
        <v>357</v>
      </c>
      <c r="P1" t="s">
        <v>357</v>
      </c>
      <c r="Q1">
        <v>1</v>
      </c>
      <c r="X1">
        <v>1.26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21.42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1474089746</v>
      </c>
      <c r="C2">
        <v>1471519715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355</v>
      </c>
      <c r="J2" t="s">
        <v>3</v>
      </c>
      <c r="K2" t="s">
        <v>356</v>
      </c>
      <c r="L2">
        <v>1191</v>
      </c>
      <c r="N2">
        <v>1013</v>
      </c>
      <c r="O2" t="s">
        <v>357</v>
      </c>
      <c r="P2" t="s">
        <v>357</v>
      </c>
      <c r="Q2">
        <v>1</v>
      </c>
      <c r="X2">
        <v>0.23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27</v>
      </c>
      <c r="AG2">
        <v>7.82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ROW(Source!A34)</f>
        <v>34</v>
      </c>
      <c r="B3">
        <v>1474089747</v>
      </c>
      <c r="C3">
        <v>1471519719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355</v>
      </c>
      <c r="J3" t="s">
        <v>3</v>
      </c>
      <c r="K3" t="s">
        <v>356</v>
      </c>
      <c r="L3">
        <v>1191</v>
      </c>
      <c r="N3">
        <v>1013</v>
      </c>
      <c r="O3" t="s">
        <v>357</v>
      </c>
      <c r="P3" t="s">
        <v>357</v>
      </c>
      <c r="Q3">
        <v>1</v>
      </c>
      <c r="X3">
        <v>104.44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104.44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ROW(Source!A34)</f>
        <v>34</v>
      </c>
      <c r="B4">
        <v>1474089748</v>
      </c>
      <c r="C4">
        <v>1471519719</v>
      </c>
      <c r="D4">
        <v>1441834334</v>
      </c>
      <c r="E4">
        <v>1</v>
      </c>
      <c r="F4">
        <v>1</v>
      </c>
      <c r="G4">
        <v>15514512</v>
      </c>
      <c r="H4">
        <v>2</v>
      </c>
      <c r="I4" t="s">
        <v>358</v>
      </c>
      <c r="J4" t="s">
        <v>359</v>
      </c>
      <c r="K4" t="s">
        <v>360</v>
      </c>
      <c r="L4">
        <v>1368</v>
      </c>
      <c r="N4">
        <v>1011</v>
      </c>
      <c r="O4" t="s">
        <v>361</v>
      </c>
      <c r="P4" t="s">
        <v>361</v>
      </c>
      <c r="Q4">
        <v>1</v>
      </c>
      <c r="X4">
        <v>5.8</v>
      </c>
      <c r="Y4">
        <v>0</v>
      </c>
      <c r="Z4">
        <v>10.66</v>
      </c>
      <c r="AA4">
        <v>0.12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5.8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ROW(Source!A34)</f>
        <v>34</v>
      </c>
      <c r="B5">
        <v>1474089750</v>
      </c>
      <c r="C5">
        <v>1471519719</v>
      </c>
      <c r="D5">
        <v>1441834443</v>
      </c>
      <c r="E5">
        <v>1</v>
      </c>
      <c r="F5">
        <v>1</v>
      </c>
      <c r="G5">
        <v>15514512</v>
      </c>
      <c r="H5">
        <v>3</v>
      </c>
      <c r="I5" t="s">
        <v>362</v>
      </c>
      <c r="J5" t="s">
        <v>363</v>
      </c>
      <c r="K5" t="s">
        <v>364</v>
      </c>
      <c r="L5">
        <v>1296</v>
      </c>
      <c r="N5">
        <v>1002</v>
      </c>
      <c r="O5" t="s">
        <v>365</v>
      </c>
      <c r="P5" t="s">
        <v>365</v>
      </c>
      <c r="Q5">
        <v>1</v>
      </c>
      <c r="X5">
        <v>0.31</v>
      </c>
      <c r="Y5">
        <v>785.72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0.31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1474089751</v>
      </c>
      <c r="C6">
        <v>1471519719</v>
      </c>
      <c r="D6">
        <v>1441821225</v>
      </c>
      <c r="E6">
        <v>15514512</v>
      </c>
      <c r="F6">
        <v>1</v>
      </c>
      <c r="G6">
        <v>15514512</v>
      </c>
      <c r="H6">
        <v>3</v>
      </c>
      <c r="I6" t="s">
        <v>366</v>
      </c>
      <c r="J6" t="s">
        <v>3</v>
      </c>
      <c r="K6" t="s">
        <v>367</v>
      </c>
      <c r="L6">
        <v>1346</v>
      </c>
      <c r="N6">
        <v>1009</v>
      </c>
      <c r="O6" t="s">
        <v>368</v>
      </c>
      <c r="P6" t="s">
        <v>368</v>
      </c>
      <c r="Q6">
        <v>1</v>
      </c>
      <c r="X6">
        <v>1.08</v>
      </c>
      <c r="Y6">
        <v>292.57515999999998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1.08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ROW(Source!A34)</f>
        <v>34</v>
      </c>
      <c r="B7">
        <v>1474089749</v>
      </c>
      <c r="C7">
        <v>1471519719</v>
      </c>
      <c r="D7">
        <v>1441821223</v>
      </c>
      <c r="E7">
        <v>15514512</v>
      </c>
      <c r="F7">
        <v>1</v>
      </c>
      <c r="G7">
        <v>15514512</v>
      </c>
      <c r="H7">
        <v>3</v>
      </c>
      <c r="I7" t="s">
        <v>369</v>
      </c>
      <c r="J7" t="s">
        <v>3</v>
      </c>
      <c r="K7" t="s">
        <v>370</v>
      </c>
      <c r="L7">
        <v>1346</v>
      </c>
      <c r="N7">
        <v>1009</v>
      </c>
      <c r="O7" t="s">
        <v>368</v>
      </c>
      <c r="P7" t="s">
        <v>368</v>
      </c>
      <c r="Q7">
        <v>1</v>
      </c>
      <c r="X7">
        <v>0.98</v>
      </c>
      <c r="Y7">
        <v>221.4237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0.98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ROW(Source!A35)</f>
        <v>35</v>
      </c>
      <c r="B8">
        <v>1474089752</v>
      </c>
      <c r="C8">
        <v>1471519735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355</v>
      </c>
      <c r="J8" t="s">
        <v>3</v>
      </c>
      <c r="K8" t="s">
        <v>356</v>
      </c>
      <c r="L8">
        <v>1191</v>
      </c>
      <c r="N8">
        <v>1013</v>
      </c>
      <c r="O8" t="s">
        <v>357</v>
      </c>
      <c r="P8" t="s">
        <v>357</v>
      </c>
      <c r="Q8">
        <v>1</v>
      </c>
      <c r="X8">
        <v>151.93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151.93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ROW(Source!A35)</f>
        <v>35</v>
      </c>
      <c r="B9">
        <v>1474089753</v>
      </c>
      <c r="C9">
        <v>1471519735</v>
      </c>
      <c r="D9">
        <v>1441834334</v>
      </c>
      <c r="E9">
        <v>1</v>
      </c>
      <c r="F9">
        <v>1</v>
      </c>
      <c r="G9">
        <v>15514512</v>
      </c>
      <c r="H9">
        <v>2</v>
      </c>
      <c r="I9" t="s">
        <v>358</v>
      </c>
      <c r="J9" t="s">
        <v>359</v>
      </c>
      <c r="K9" t="s">
        <v>360</v>
      </c>
      <c r="L9">
        <v>1368</v>
      </c>
      <c r="N9">
        <v>1011</v>
      </c>
      <c r="O9" t="s">
        <v>361</v>
      </c>
      <c r="P9" t="s">
        <v>361</v>
      </c>
      <c r="Q9">
        <v>1</v>
      </c>
      <c r="X9">
        <v>5.8</v>
      </c>
      <c r="Y9">
        <v>0</v>
      </c>
      <c r="Z9">
        <v>10.66</v>
      </c>
      <c r="AA9">
        <v>0.12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5.8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ROW(Source!A35)</f>
        <v>35</v>
      </c>
      <c r="B10">
        <v>1474089755</v>
      </c>
      <c r="C10">
        <v>1471519735</v>
      </c>
      <c r="D10">
        <v>1441834443</v>
      </c>
      <c r="E10">
        <v>1</v>
      </c>
      <c r="F10">
        <v>1</v>
      </c>
      <c r="G10">
        <v>15514512</v>
      </c>
      <c r="H10">
        <v>3</v>
      </c>
      <c r="I10" t="s">
        <v>362</v>
      </c>
      <c r="J10" t="s">
        <v>363</v>
      </c>
      <c r="K10" t="s">
        <v>364</v>
      </c>
      <c r="L10">
        <v>1296</v>
      </c>
      <c r="N10">
        <v>1002</v>
      </c>
      <c r="O10" t="s">
        <v>365</v>
      </c>
      <c r="P10" t="s">
        <v>365</v>
      </c>
      <c r="Q10">
        <v>1</v>
      </c>
      <c r="X10">
        <v>0.31</v>
      </c>
      <c r="Y10">
        <v>785.72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0.31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ROW(Source!A35)</f>
        <v>35</v>
      </c>
      <c r="B11">
        <v>1474089756</v>
      </c>
      <c r="C11">
        <v>1471519735</v>
      </c>
      <c r="D11">
        <v>1441821225</v>
      </c>
      <c r="E11">
        <v>15514512</v>
      </c>
      <c r="F11">
        <v>1</v>
      </c>
      <c r="G11">
        <v>15514512</v>
      </c>
      <c r="H11">
        <v>3</v>
      </c>
      <c r="I11" t="s">
        <v>366</v>
      </c>
      <c r="J11" t="s">
        <v>3</v>
      </c>
      <c r="K11" t="s">
        <v>367</v>
      </c>
      <c r="L11">
        <v>1346</v>
      </c>
      <c r="N11">
        <v>1009</v>
      </c>
      <c r="O11" t="s">
        <v>368</v>
      </c>
      <c r="P11" t="s">
        <v>368</v>
      </c>
      <c r="Q11">
        <v>1</v>
      </c>
      <c r="X11">
        <v>1.08</v>
      </c>
      <c r="Y11">
        <v>292.57515999999998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1.08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ROW(Source!A35)</f>
        <v>35</v>
      </c>
      <c r="B12">
        <v>1474089754</v>
      </c>
      <c r="C12">
        <v>1471519735</v>
      </c>
      <c r="D12">
        <v>1441821223</v>
      </c>
      <c r="E12">
        <v>15514512</v>
      </c>
      <c r="F12">
        <v>1</v>
      </c>
      <c r="G12">
        <v>15514512</v>
      </c>
      <c r="H12">
        <v>3</v>
      </c>
      <c r="I12" t="s">
        <v>369</v>
      </c>
      <c r="J12" t="s">
        <v>3</v>
      </c>
      <c r="K12" t="s">
        <v>370</v>
      </c>
      <c r="L12">
        <v>1346</v>
      </c>
      <c r="N12">
        <v>1009</v>
      </c>
      <c r="O12" t="s">
        <v>368</v>
      </c>
      <c r="P12" t="s">
        <v>368</v>
      </c>
      <c r="Q12">
        <v>1</v>
      </c>
      <c r="X12">
        <v>0.98</v>
      </c>
      <c r="Y12">
        <v>221.4237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0.98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ROW(Source!A36)</f>
        <v>36</v>
      </c>
      <c r="B13">
        <v>1474089757</v>
      </c>
      <c r="C13">
        <v>1471519753</v>
      </c>
      <c r="D13">
        <v>1441819193</v>
      </c>
      <c r="E13">
        <v>15514512</v>
      </c>
      <c r="F13">
        <v>1</v>
      </c>
      <c r="G13">
        <v>15514512</v>
      </c>
      <c r="H13">
        <v>1</v>
      </c>
      <c r="I13" t="s">
        <v>355</v>
      </c>
      <c r="J13" t="s">
        <v>3</v>
      </c>
      <c r="K13" t="s">
        <v>356</v>
      </c>
      <c r="L13">
        <v>1191</v>
      </c>
      <c r="N13">
        <v>1013</v>
      </c>
      <c r="O13" t="s">
        <v>357</v>
      </c>
      <c r="P13" t="s">
        <v>357</v>
      </c>
      <c r="Q13">
        <v>1</v>
      </c>
      <c r="X13">
        <v>0.82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</v>
      </c>
      <c r="AG13">
        <v>0.82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ROW(Source!A37)</f>
        <v>37</v>
      </c>
      <c r="B14">
        <v>1474089758</v>
      </c>
      <c r="C14">
        <v>1471519757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355</v>
      </c>
      <c r="J14" t="s">
        <v>3</v>
      </c>
      <c r="K14" t="s">
        <v>356</v>
      </c>
      <c r="L14">
        <v>1191</v>
      </c>
      <c r="N14">
        <v>1013</v>
      </c>
      <c r="O14" t="s">
        <v>357</v>
      </c>
      <c r="P14" t="s">
        <v>357</v>
      </c>
      <c r="Q14">
        <v>1</v>
      </c>
      <c r="X14">
        <v>0.37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0.37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ROW(Source!A37)</f>
        <v>37</v>
      </c>
      <c r="B15">
        <v>1474089759</v>
      </c>
      <c r="C15">
        <v>1471519757</v>
      </c>
      <c r="D15">
        <v>1441834258</v>
      </c>
      <c r="E15">
        <v>1</v>
      </c>
      <c r="F15">
        <v>1</v>
      </c>
      <c r="G15">
        <v>15514512</v>
      </c>
      <c r="H15">
        <v>2</v>
      </c>
      <c r="I15" t="s">
        <v>371</v>
      </c>
      <c r="J15" t="s">
        <v>372</v>
      </c>
      <c r="K15" t="s">
        <v>373</v>
      </c>
      <c r="L15">
        <v>1368</v>
      </c>
      <c r="N15">
        <v>1011</v>
      </c>
      <c r="O15" t="s">
        <v>361</v>
      </c>
      <c r="P15" t="s">
        <v>361</v>
      </c>
      <c r="Q15">
        <v>1</v>
      </c>
      <c r="X15">
        <v>0.06</v>
      </c>
      <c r="Y15">
        <v>0</v>
      </c>
      <c r="Z15">
        <v>1303.01</v>
      </c>
      <c r="AA15">
        <v>826.2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0.06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ROW(Source!A38)</f>
        <v>38</v>
      </c>
      <c r="B16">
        <v>1474089760</v>
      </c>
      <c r="C16">
        <v>1471519764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355</v>
      </c>
      <c r="J16" t="s">
        <v>3</v>
      </c>
      <c r="K16" t="s">
        <v>356</v>
      </c>
      <c r="L16">
        <v>1191</v>
      </c>
      <c r="N16">
        <v>1013</v>
      </c>
      <c r="O16" t="s">
        <v>357</v>
      </c>
      <c r="P16" t="s">
        <v>357</v>
      </c>
      <c r="Q16">
        <v>1</v>
      </c>
      <c r="X16">
        <v>26.7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26.7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ROW(Source!A39)</f>
        <v>39</v>
      </c>
      <c r="B17">
        <v>1474089761</v>
      </c>
      <c r="C17">
        <v>1471519768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355</v>
      </c>
      <c r="J17" t="s">
        <v>3</v>
      </c>
      <c r="K17" t="s">
        <v>356</v>
      </c>
      <c r="L17">
        <v>1191</v>
      </c>
      <c r="N17">
        <v>1013</v>
      </c>
      <c r="O17" t="s">
        <v>357</v>
      </c>
      <c r="P17" t="s">
        <v>357</v>
      </c>
      <c r="Q17">
        <v>1</v>
      </c>
      <c r="X17">
        <v>28.02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28.02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ROW(Source!A39)</f>
        <v>39</v>
      </c>
      <c r="B18">
        <v>1474089762</v>
      </c>
      <c r="C18">
        <v>1471519768</v>
      </c>
      <c r="D18">
        <v>1441834443</v>
      </c>
      <c r="E18">
        <v>1</v>
      </c>
      <c r="F18">
        <v>1</v>
      </c>
      <c r="G18">
        <v>15514512</v>
      </c>
      <c r="H18">
        <v>3</v>
      </c>
      <c r="I18" t="s">
        <v>362</v>
      </c>
      <c r="J18" t="s">
        <v>363</v>
      </c>
      <c r="K18" t="s">
        <v>364</v>
      </c>
      <c r="L18">
        <v>1296</v>
      </c>
      <c r="N18">
        <v>1002</v>
      </c>
      <c r="O18" t="s">
        <v>365</v>
      </c>
      <c r="P18" t="s">
        <v>365</v>
      </c>
      <c r="Q18">
        <v>1</v>
      </c>
      <c r="X18">
        <v>0.31</v>
      </c>
      <c r="Y18">
        <v>785.72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0.31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ROW(Source!A40)</f>
        <v>40</v>
      </c>
      <c r="B19">
        <v>1474089763</v>
      </c>
      <c r="C19">
        <v>1471519776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355</v>
      </c>
      <c r="J19" t="s">
        <v>3</v>
      </c>
      <c r="K19" t="s">
        <v>356</v>
      </c>
      <c r="L19">
        <v>1191</v>
      </c>
      <c r="N19">
        <v>1013</v>
      </c>
      <c r="O19" t="s">
        <v>357</v>
      </c>
      <c r="P19" t="s">
        <v>357</v>
      </c>
      <c r="Q19">
        <v>1</v>
      </c>
      <c r="X19">
        <v>0.13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57</v>
      </c>
      <c r="AG19">
        <v>0.52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ROW(Source!A41)</f>
        <v>41</v>
      </c>
      <c r="B20">
        <v>1474089764</v>
      </c>
      <c r="C20">
        <v>1471519780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355</v>
      </c>
      <c r="J20" t="s">
        <v>3</v>
      </c>
      <c r="K20" t="s">
        <v>356</v>
      </c>
      <c r="L20">
        <v>1191</v>
      </c>
      <c r="N20">
        <v>1013</v>
      </c>
      <c r="O20" t="s">
        <v>357</v>
      </c>
      <c r="P20" t="s">
        <v>357</v>
      </c>
      <c r="Q20">
        <v>1</v>
      </c>
      <c r="X20">
        <v>29.54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3</v>
      </c>
      <c r="AG20">
        <v>29.54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ROW(Source!A41)</f>
        <v>41</v>
      </c>
      <c r="B21">
        <v>1474089765</v>
      </c>
      <c r="C21">
        <v>1471519780</v>
      </c>
      <c r="D21">
        <v>1441835469</v>
      </c>
      <c r="E21">
        <v>1</v>
      </c>
      <c r="F21">
        <v>1</v>
      </c>
      <c r="G21">
        <v>15514512</v>
      </c>
      <c r="H21">
        <v>3</v>
      </c>
      <c r="I21" t="s">
        <v>374</v>
      </c>
      <c r="J21" t="s">
        <v>375</v>
      </c>
      <c r="K21" t="s">
        <v>376</v>
      </c>
      <c r="L21">
        <v>1348</v>
      </c>
      <c r="N21">
        <v>1009</v>
      </c>
      <c r="O21" t="s">
        <v>377</v>
      </c>
      <c r="P21" t="s">
        <v>377</v>
      </c>
      <c r="Q21">
        <v>1000</v>
      </c>
      <c r="X21">
        <v>5.0000000000000001E-3</v>
      </c>
      <c r="Y21">
        <v>163237.26999999999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5.0000000000000001E-3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ROW(Source!A41)</f>
        <v>41</v>
      </c>
      <c r="B22">
        <v>1474089766</v>
      </c>
      <c r="C22">
        <v>1471519780</v>
      </c>
      <c r="D22">
        <v>1441836514</v>
      </c>
      <c r="E22">
        <v>1</v>
      </c>
      <c r="F22">
        <v>1</v>
      </c>
      <c r="G22">
        <v>15514512</v>
      </c>
      <c r="H22">
        <v>3</v>
      </c>
      <c r="I22" t="s">
        <v>378</v>
      </c>
      <c r="J22" t="s">
        <v>379</v>
      </c>
      <c r="K22" t="s">
        <v>380</v>
      </c>
      <c r="L22">
        <v>1339</v>
      </c>
      <c r="N22">
        <v>1007</v>
      </c>
      <c r="O22" t="s">
        <v>381</v>
      </c>
      <c r="P22" t="s">
        <v>381</v>
      </c>
      <c r="Q22">
        <v>1</v>
      </c>
      <c r="X22">
        <v>7.8</v>
      </c>
      <c r="Y22">
        <v>54.81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7.8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ROW(Source!A41)</f>
        <v>41</v>
      </c>
      <c r="B23">
        <v>1474089767</v>
      </c>
      <c r="C23">
        <v>1471519780</v>
      </c>
      <c r="D23">
        <v>1441847238</v>
      </c>
      <c r="E23">
        <v>1</v>
      </c>
      <c r="F23">
        <v>1</v>
      </c>
      <c r="G23">
        <v>15514512</v>
      </c>
      <c r="H23">
        <v>3</v>
      </c>
      <c r="I23" t="s">
        <v>382</v>
      </c>
      <c r="J23" t="s">
        <v>383</v>
      </c>
      <c r="K23" t="s">
        <v>384</v>
      </c>
      <c r="L23">
        <v>1346</v>
      </c>
      <c r="N23">
        <v>1009</v>
      </c>
      <c r="O23" t="s">
        <v>368</v>
      </c>
      <c r="P23" t="s">
        <v>368</v>
      </c>
      <c r="Q23">
        <v>1</v>
      </c>
      <c r="X23">
        <v>2</v>
      </c>
      <c r="Y23">
        <v>742.26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2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ROW(Source!A42)</f>
        <v>42</v>
      </c>
      <c r="B24">
        <v>1474089768</v>
      </c>
      <c r="C24">
        <v>1471519793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355</v>
      </c>
      <c r="J24" t="s">
        <v>3</v>
      </c>
      <c r="K24" t="s">
        <v>356</v>
      </c>
      <c r="L24">
        <v>1191</v>
      </c>
      <c r="N24">
        <v>1013</v>
      </c>
      <c r="O24" t="s">
        <v>357</v>
      </c>
      <c r="P24" t="s">
        <v>357</v>
      </c>
      <c r="Q24">
        <v>1</v>
      </c>
      <c r="X24">
        <v>2.04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2.04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ROW(Source!A43)</f>
        <v>43</v>
      </c>
      <c r="B25">
        <v>1474089769</v>
      </c>
      <c r="C25">
        <v>1471519797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355</v>
      </c>
      <c r="J25" t="s">
        <v>3</v>
      </c>
      <c r="K25" t="s">
        <v>356</v>
      </c>
      <c r="L25">
        <v>1191</v>
      </c>
      <c r="N25">
        <v>1013</v>
      </c>
      <c r="O25" t="s">
        <v>357</v>
      </c>
      <c r="P25" t="s">
        <v>357</v>
      </c>
      <c r="Q25">
        <v>1</v>
      </c>
      <c r="X25">
        <v>0.9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69</v>
      </c>
      <c r="AG25">
        <v>7.2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ROW(Source!A44)</f>
        <v>44</v>
      </c>
      <c r="B26">
        <v>1474089770</v>
      </c>
      <c r="C26">
        <v>1471519801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355</v>
      </c>
      <c r="J26" t="s">
        <v>3</v>
      </c>
      <c r="K26" t="s">
        <v>356</v>
      </c>
      <c r="L26">
        <v>1191</v>
      </c>
      <c r="N26">
        <v>1013</v>
      </c>
      <c r="O26" t="s">
        <v>357</v>
      </c>
      <c r="P26" t="s">
        <v>357</v>
      </c>
      <c r="Q26">
        <v>1</v>
      </c>
      <c r="X26">
        <v>4.84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69</v>
      </c>
      <c r="AG26">
        <v>38.72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ROW(Source!A45)</f>
        <v>45</v>
      </c>
      <c r="B27">
        <v>1474089771</v>
      </c>
      <c r="C27">
        <v>1471519805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355</v>
      </c>
      <c r="J27" t="s">
        <v>3</v>
      </c>
      <c r="K27" t="s">
        <v>356</v>
      </c>
      <c r="L27">
        <v>1191</v>
      </c>
      <c r="N27">
        <v>1013</v>
      </c>
      <c r="O27" t="s">
        <v>357</v>
      </c>
      <c r="P27" t="s">
        <v>357</v>
      </c>
      <c r="Q27">
        <v>1</v>
      </c>
      <c r="X27">
        <v>0.37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</v>
      </c>
      <c r="AG27">
        <v>0.37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ROW(Source!A45)</f>
        <v>45</v>
      </c>
      <c r="B28">
        <v>1474089772</v>
      </c>
      <c r="C28">
        <v>1471519805</v>
      </c>
      <c r="D28">
        <v>1441834258</v>
      </c>
      <c r="E28">
        <v>1</v>
      </c>
      <c r="F28">
        <v>1</v>
      </c>
      <c r="G28">
        <v>15514512</v>
      </c>
      <c r="H28">
        <v>2</v>
      </c>
      <c r="I28" t="s">
        <v>371</v>
      </c>
      <c r="J28" t="s">
        <v>372</v>
      </c>
      <c r="K28" t="s">
        <v>373</v>
      </c>
      <c r="L28">
        <v>1368</v>
      </c>
      <c r="N28">
        <v>1011</v>
      </c>
      <c r="O28" t="s">
        <v>361</v>
      </c>
      <c r="P28" t="s">
        <v>361</v>
      </c>
      <c r="Q28">
        <v>1</v>
      </c>
      <c r="X28">
        <v>0.06</v>
      </c>
      <c r="Y28">
        <v>0</v>
      </c>
      <c r="Z28">
        <v>1303.01</v>
      </c>
      <c r="AA28">
        <v>826.2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0.06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ROW(Source!A46)</f>
        <v>46</v>
      </c>
      <c r="B29">
        <v>1474089773</v>
      </c>
      <c r="C29">
        <v>1471519812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355</v>
      </c>
      <c r="J29" t="s">
        <v>3</v>
      </c>
      <c r="K29" t="s">
        <v>356</v>
      </c>
      <c r="L29">
        <v>1191</v>
      </c>
      <c r="N29">
        <v>1013</v>
      </c>
      <c r="O29" t="s">
        <v>357</v>
      </c>
      <c r="P29" t="s">
        <v>357</v>
      </c>
      <c r="Q29">
        <v>1</v>
      </c>
      <c r="X29">
        <v>0.61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3</v>
      </c>
      <c r="AG29">
        <v>0.61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ROW(Source!A47)</f>
        <v>47</v>
      </c>
      <c r="B30">
        <v>1474089774</v>
      </c>
      <c r="C30">
        <v>1471519816</v>
      </c>
      <c r="D30">
        <v>1441819193</v>
      </c>
      <c r="E30">
        <v>15514512</v>
      </c>
      <c r="F30">
        <v>1</v>
      </c>
      <c r="G30">
        <v>15514512</v>
      </c>
      <c r="H30">
        <v>1</v>
      </c>
      <c r="I30" t="s">
        <v>355</v>
      </c>
      <c r="J30" t="s">
        <v>3</v>
      </c>
      <c r="K30" t="s">
        <v>356</v>
      </c>
      <c r="L30">
        <v>1191</v>
      </c>
      <c r="N30">
        <v>1013</v>
      </c>
      <c r="O30" t="s">
        <v>357</v>
      </c>
      <c r="P30" t="s">
        <v>357</v>
      </c>
      <c r="Q30">
        <v>1</v>
      </c>
      <c r="X30">
        <v>13.9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82</v>
      </c>
      <c r="AG30">
        <v>3405.5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ROW(Source!A47)</f>
        <v>47</v>
      </c>
      <c r="B31">
        <v>1474089775</v>
      </c>
      <c r="C31">
        <v>1471519816</v>
      </c>
      <c r="D31">
        <v>1441836372</v>
      </c>
      <c r="E31">
        <v>1</v>
      </c>
      <c r="F31">
        <v>1</v>
      </c>
      <c r="G31">
        <v>15514512</v>
      </c>
      <c r="H31">
        <v>3</v>
      </c>
      <c r="I31" t="s">
        <v>385</v>
      </c>
      <c r="J31" t="s">
        <v>386</v>
      </c>
      <c r="K31" t="s">
        <v>387</v>
      </c>
      <c r="L31">
        <v>1296</v>
      </c>
      <c r="N31">
        <v>1002</v>
      </c>
      <c r="O31" t="s">
        <v>365</v>
      </c>
      <c r="P31" t="s">
        <v>365</v>
      </c>
      <c r="Q31">
        <v>1</v>
      </c>
      <c r="X31">
        <v>0.5</v>
      </c>
      <c r="Y31">
        <v>111.42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82</v>
      </c>
      <c r="AG31">
        <v>122.5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ROW(Source!A47)</f>
        <v>47</v>
      </c>
      <c r="B32">
        <v>1474089776</v>
      </c>
      <c r="C32">
        <v>1471519816</v>
      </c>
      <c r="D32">
        <v>1441836514</v>
      </c>
      <c r="E32">
        <v>1</v>
      </c>
      <c r="F32">
        <v>1</v>
      </c>
      <c r="G32">
        <v>15514512</v>
      </c>
      <c r="H32">
        <v>3</v>
      </c>
      <c r="I32" t="s">
        <v>378</v>
      </c>
      <c r="J32" t="s">
        <v>379</v>
      </c>
      <c r="K32" t="s">
        <v>380</v>
      </c>
      <c r="L32">
        <v>1339</v>
      </c>
      <c r="N32">
        <v>1007</v>
      </c>
      <c r="O32" t="s">
        <v>381</v>
      </c>
      <c r="P32" t="s">
        <v>381</v>
      </c>
      <c r="Q32">
        <v>1</v>
      </c>
      <c r="X32">
        <v>0.01</v>
      </c>
      <c r="Y32">
        <v>54.81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82</v>
      </c>
      <c r="AG32">
        <v>2.4500000000000002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ROW(Source!A48)</f>
        <v>48</v>
      </c>
      <c r="B33">
        <v>1474089777</v>
      </c>
      <c r="C33">
        <v>1471519826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355</v>
      </c>
      <c r="J33" t="s">
        <v>3</v>
      </c>
      <c r="K33" t="s">
        <v>356</v>
      </c>
      <c r="L33">
        <v>1191</v>
      </c>
      <c r="N33">
        <v>1013</v>
      </c>
      <c r="O33" t="s">
        <v>357</v>
      </c>
      <c r="P33" t="s">
        <v>357</v>
      </c>
      <c r="Q33">
        <v>1</v>
      </c>
      <c r="X33">
        <v>8.15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82</v>
      </c>
      <c r="AG33">
        <v>1996.75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ROW(Source!A48)</f>
        <v>48</v>
      </c>
      <c r="B34">
        <v>1474089778</v>
      </c>
      <c r="C34">
        <v>1471519826</v>
      </c>
      <c r="D34">
        <v>1441836372</v>
      </c>
      <c r="E34">
        <v>1</v>
      </c>
      <c r="F34">
        <v>1</v>
      </c>
      <c r="G34">
        <v>15514512</v>
      </c>
      <c r="H34">
        <v>3</v>
      </c>
      <c r="I34" t="s">
        <v>385</v>
      </c>
      <c r="J34" t="s">
        <v>386</v>
      </c>
      <c r="K34" t="s">
        <v>387</v>
      </c>
      <c r="L34">
        <v>1296</v>
      </c>
      <c r="N34">
        <v>1002</v>
      </c>
      <c r="O34" t="s">
        <v>365</v>
      </c>
      <c r="P34" t="s">
        <v>365</v>
      </c>
      <c r="Q34">
        <v>1</v>
      </c>
      <c r="X34">
        <v>0.5</v>
      </c>
      <c r="Y34">
        <v>111.42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82</v>
      </c>
      <c r="AG34">
        <v>122.5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ROW(Source!A48)</f>
        <v>48</v>
      </c>
      <c r="B35">
        <v>1474089779</v>
      </c>
      <c r="C35">
        <v>1471519826</v>
      </c>
      <c r="D35">
        <v>1441836514</v>
      </c>
      <c r="E35">
        <v>1</v>
      </c>
      <c r="F35">
        <v>1</v>
      </c>
      <c r="G35">
        <v>15514512</v>
      </c>
      <c r="H35">
        <v>3</v>
      </c>
      <c r="I35" t="s">
        <v>378</v>
      </c>
      <c r="J35" t="s">
        <v>379</v>
      </c>
      <c r="K35" t="s">
        <v>380</v>
      </c>
      <c r="L35">
        <v>1339</v>
      </c>
      <c r="N35">
        <v>1007</v>
      </c>
      <c r="O35" t="s">
        <v>381</v>
      </c>
      <c r="P35" t="s">
        <v>381</v>
      </c>
      <c r="Q35">
        <v>1</v>
      </c>
      <c r="X35">
        <v>0.01</v>
      </c>
      <c r="Y35">
        <v>54.81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82</v>
      </c>
      <c r="AG35">
        <v>2.4500000000000002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ROW(Source!A84)</f>
        <v>84</v>
      </c>
      <c r="B36">
        <v>1474089780</v>
      </c>
      <c r="C36">
        <v>1471519836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355</v>
      </c>
      <c r="J36" t="s">
        <v>3</v>
      </c>
      <c r="K36" t="s">
        <v>356</v>
      </c>
      <c r="L36">
        <v>1191</v>
      </c>
      <c r="N36">
        <v>1013</v>
      </c>
      <c r="O36" t="s">
        <v>357</v>
      </c>
      <c r="P36" t="s">
        <v>357</v>
      </c>
      <c r="Q36">
        <v>1</v>
      </c>
      <c r="X36">
        <v>1.75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1.75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ROW(Source!A84)</f>
        <v>84</v>
      </c>
      <c r="B37">
        <v>1474089781</v>
      </c>
      <c r="C37">
        <v>1471519836</v>
      </c>
      <c r="D37">
        <v>1441834258</v>
      </c>
      <c r="E37">
        <v>1</v>
      </c>
      <c r="F37">
        <v>1</v>
      </c>
      <c r="G37">
        <v>15514512</v>
      </c>
      <c r="H37">
        <v>2</v>
      </c>
      <c r="I37" t="s">
        <v>371</v>
      </c>
      <c r="J37" t="s">
        <v>372</v>
      </c>
      <c r="K37" t="s">
        <v>373</v>
      </c>
      <c r="L37">
        <v>1368</v>
      </c>
      <c r="N37">
        <v>1011</v>
      </c>
      <c r="O37" t="s">
        <v>361</v>
      </c>
      <c r="P37" t="s">
        <v>361</v>
      </c>
      <c r="Q37">
        <v>1</v>
      </c>
      <c r="X37">
        <v>1.083</v>
      </c>
      <c r="Y37">
        <v>0</v>
      </c>
      <c r="Z37">
        <v>1303.01</v>
      </c>
      <c r="AA37">
        <v>826.2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1.083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ROW(Source!A84)</f>
        <v>84</v>
      </c>
      <c r="B38">
        <v>1474089782</v>
      </c>
      <c r="C38">
        <v>1471519836</v>
      </c>
      <c r="D38">
        <v>1441836235</v>
      </c>
      <c r="E38">
        <v>1</v>
      </c>
      <c r="F38">
        <v>1</v>
      </c>
      <c r="G38">
        <v>15514512</v>
      </c>
      <c r="H38">
        <v>3</v>
      </c>
      <c r="I38" t="s">
        <v>388</v>
      </c>
      <c r="J38" t="s">
        <v>389</v>
      </c>
      <c r="K38" t="s">
        <v>390</v>
      </c>
      <c r="L38">
        <v>1346</v>
      </c>
      <c r="N38">
        <v>1009</v>
      </c>
      <c r="O38" t="s">
        <v>368</v>
      </c>
      <c r="P38" t="s">
        <v>368</v>
      </c>
      <c r="Q38">
        <v>1</v>
      </c>
      <c r="X38">
        <v>0.02</v>
      </c>
      <c r="Y38">
        <v>31.49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0.02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ROW(Source!A85)</f>
        <v>85</v>
      </c>
      <c r="B39">
        <v>1474089783</v>
      </c>
      <c r="C39">
        <v>1471519846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355</v>
      </c>
      <c r="J39" t="s">
        <v>3</v>
      </c>
      <c r="K39" t="s">
        <v>356</v>
      </c>
      <c r="L39">
        <v>1191</v>
      </c>
      <c r="N39">
        <v>1013</v>
      </c>
      <c r="O39" t="s">
        <v>357</v>
      </c>
      <c r="P39" t="s">
        <v>357</v>
      </c>
      <c r="Q39">
        <v>1</v>
      </c>
      <c r="X39">
        <v>5.7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5.7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ROW(Source!A85)</f>
        <v>85</v>
      </c>
      <c r="B40">
        <v>1474089784</v>
      </c>
      <c r="C40">
        <v>1471519846</v>
      </c>
      <c r="D40">
        <v>1441833662</v>
      </c>
      <c r="E40">
        <v>1</v>
      </c>
      <c r="F40">
        <v>1</v>
      </c>
      <c r="G40">
        <v>15514512</v>
      </c>
      <c r="H40">
        <v>2</v>
      </c>
      <c r="I40" t="s">
        <v>391</v>
      </c>
      <c r="J40" t="s">
        <v>392</v>
      </c>
      <c r="K40" t="s">
        <v>393</v>
      </c>
      <c r="L40">
        <v>1368</v>
      </c>
      <c r="N40">
        <v>1011</v>
      </c>
      <c r="O40" t="s">
        <v>361</v>
      </c>
      <c r="P40" t="s">
        <v>361</v>
      </c>
      <c r="Q40">
        <v>1</v>
      </c>
      <c r="X40">
        <v>0.6</v>
      </c>
      <c r="Y40">
        <v>0</v>
      </c>
      <c r="Z40">
        <v>44.21</v>
      </c>
      <c r="AA40">
        <v>1.89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0.6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ROW(Source!A85)</f>
        <v>85</v>
      </c>
      <c r="B41">
        <v>1474089785</v>
      </c>
      <c r="C41">
        <v>1471519846</v>
      </c>
      <c r="D41">
        <v>1441836235</v>
      </c>
      <c r="E41">
        <v>1</v>
      </c>
      <c r="F41">
        <v>1</v>
      </c>
      <c r="G41">
        <v>15514512</v>
      </c>
      <c r="H41">
        <v>3</v>
      </c>
      <c r="I41" t="s">
        <v>388</v>
      </c>
      <c r="J41" t="s">
        <v>389</v>
      </c>
      <c r="K41" t="s">
        <v>390</v>
      </c>
      <c r="L41">
        <v>1346</v>
      </c>
      <c r="N41">
        <v>1009</v>
      </c>
      <c r="O41" t="s">
        <v>368</v>
      </c>
      <c r="P41" t="s">
        <v>368</v>
      </c>
      <c r="Q41">
        <v>1</v>
      </c>
      <c r="X41">
        <v>2</v>
      </c>
      <c r="Y41">
        <v>31.49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ROW(Source!A85)</f>
        <v>85</v>
      </c>
      <c r="B42">
        <v>1474089786</v>
      </c>
      <c r="C42">
        <v>1471519846</v>
      </c>
      <c r="D42">
        <v>1441836912</v>
      </c>
      <c r="E42">
        <v>1</v>
      </c>
      <c r="F42">
        <v>1</v>
      </c>
      <c r="G42">
        <v>15514512</v>
      </c>
      <c r="H42">
        <v>3</v>
      </c>
      <c r="I42" t="s">
        <v>394</v>
      </c>
      <c r="J42" t="s">
        <v>395</v>
      </c>
      <c r="K42" t="s">
        <v>396</v>
      </c>
      <c r="L42">
        <v>1354</v>
      </c>
      <c r="N42">
        <v>16987630</v>
      </c>
      <c r="O42" t="s">
        <v>39</v>
      </c>
      <c r="P42" t="s">
        <v>39</v>
      </c>
      <c r="Q42">
        <v>1</v>
      </c>
      <c r="X42">
        <v>1</v>
      </c>
      <c r="Y42">
        <v>27.52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ROW(Source!A85)</f>
        <v>85</v>
      </c>
      <c r="B43">
        <v>1474089787</v>
      </c>
      <c r="C43">
        <v>1471519846</v>
      </c>
      <c r="D43">
        <v>1441834654</v>
      </c>
      <c r="E43">
        <v>1</v>
      </c>
      <c r="F43">
        <v>1</v>
      </c>
      <c r="G43">
        <v>15514512</v>
      </c>
      <c r="H43">
        <v>3</v>
      </c>
      <c r="I43" t="s">
        <v>397</v>
      </c>
      <c r="J43" t="s">
        <v>398</v>
      </c>
      <c r="K43" t="s">
        <v>399</v>
      </c>
      <c r="L43">
        <v>1296</v>
      </c>
      <c r="N43">
        <v>1002</v>
      </c>
      <c r="O43" t="s">
        <v>365</v>
      </c>
      <c r="P43" t="s">
        <v>365</v>
      </c>
      <c r="Q43">
        <v>1</v>
      </c>
      <c r="X43">
        <v>2</v>
      </c>
      <c r="Y43">
        <v>2895.42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ROW(Source!A86)</f>
        <v>86</v>
      </c>
      <c r="B44">
        <v>1474089788</v>
      </c>
      <c r="C44">
        <v>1471519862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355</v>
      </c>
      <c r="J44" t="s">
        <v>3</v>
      </c>
      <c r="K44" t="s">
        <v>356</v>
      </c>
      <c r="L44">
        <v>1191</v>
      </c>
      <c r="N44">
        <v>1013</v>
      </c>
      <c r="O44" t="s">
        <v>357</v>
      </c>
      <c r="P44" t="s">
        <v>357</v>
      </c>
      <c r="Q44">
        <v>1</v>
      </c>
      <c r="X44">
        <v>0.34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152</v>
      </c>
      <c r="AG44">
        <v>1.7000000000000002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ROW(Source!A87)</f>
        <v>87</v>
      </c>
      <c r="B45">
        <v>1474089789</v>
      </c>
      <c r="C45">
        <v>1471519866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355</v>
      </c>
      <c r="J45" t="s">
        <v>3</v>
      </c>
      <c r="K45" t="s">
        <v>356</v>
      </c>
      <c r="L45">
        <v>1191</v>
      </c>
      <c r="N45">
        <v>1013</v>
      </c>
      <c r="O45" t="s">
        <v>357</v>
      </c>
      <c r="P45" t="s">
        <v>357</v>
      </c>
      <c r="Q45">
        <v>1</v>
      </c>
      <c r="X45">
        <v>5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156</v>
      </c>
      <c r="AG45">
        <v>15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ROW(Source!A87)</f>
        <v>87</v>
      </c>
      <c r="B46">
        <v>1474089790</v>
      </c>
      <c r="C46">
        <v>1471519866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388</v>
      </c>
      <c r="J46" t="s">
        <v>389</v>
      </c>
      <c r="K46" t="s">
        <v>390</v>
      </c>
      <c r="L46">
        <v>1346</v>
      </c>
      <c r="N46">
        <v>1009</v>
      </c>
      <c r="O46" t="s">
        <v>368</v>
      </c>
      <c r="P46" t="s">
        <v>368</v>
      </c>
      <c r="Q46">
        <v>1</v>
      </c>
      <c r="X46">
        <v>0.1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156</v>
      </c>
      <c r="AG46">
        <v>0.30000000000000004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ROW(Source!A87)</f>
        <v>87</v>
      </c>
      <c r="B47">
        <v>1474089791</v>
      </c>
      <c r="C47">
        <v>1471519866</v>
      </c>
      <c r="D47">
        <v>1441834706</v>
      </c>
      <c r="E47">
        <v>1</v>
      </c>
      <c r="F47">
        <v>1</v>
      </c>
      <c r="G47">
        <v>15514512</v>
      </c>
      <c r="H47">
        <v>3</v>
      </c>
      <c r="I47" t="s">
        <v>400</v>
      </c>
      <c r="J47" t="s">
        <v>401</v>
      </c>
      <c r="K47" t="s">
        <v>402</v>
      </c>
      <c r="L47">
        <v>1296</v>
      </c>
      <c r="N47">
        <v>1002</v>
      </c>
      <c r="O47" t="s">
        <v>365</v>
      </c>
      <c r="P47" t="s">
        <v>365</v>
      </c>
      <c r="Q47">
        <v>1</v>
      </c>
      <c r="X47">
        <v>1.7999999999999999E-2</v>
      </c>
      <c r="Y47">
        <v>7110.99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156</v>
      </c>
      <c r="AG47">
        <v>5.3999999999999992E-2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ROW(Source!A88)</f>
        <v>88</v>
      </c>
      <c r="B48">
        <v>1474089792</v>
      </c>
      <c r="C48">
        <v>1471519876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355</v>
      </c>
      <c r="J48" t="s">
        <v>3</v>
      </c>
      <c r="K48" t="s">
        <v>356</v>
      </c>
      <c r="L48">
        <v>1191</v>
      </c>
      <c r="N48">
        <v>1013</v>
      </c>
      <c r="O48" t="s">
        <v>357</v>
      </c>
      <c r="P48" t="s">
        <v>357</v>
      </c>
      <c r="Q48">
        <v>1</v>
      </c>
      <c r="X48">
        <v>16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156</v>
      </c>
      <c r="AG48">
        <v>48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ROW(Source!A88)</f>
        <v>88</v>
      </c>
      <c r="B49">
        <v>1474089793</v>
      </c>
      <c r="C49">
        <v>1471519876</v>
      </c>
      <c r="D49">
        <v>1441836235</v>
      </c>
      <c r="E49">
        <v>1</v>
      </c>
      <c r="F49">
        <v>1</v>
      </c>
      <c r="G49">
        <v>15514512</v>
      </c>
      <c r="H49">
        <v>3</v>
      </c>
      <c r="I49" t="s">
        <v>388</v>
      </c>
      <c r="J49" t="s">
        <v>389</v>
      </c>
      <c r="K49" t="s">
        <v>390</v>
      </c>
      <c r="L49">
        <v>1346</v>
      </c>
      <c r="N49">
        <v>1009</v>
      </c>
      <c r="O49" t="s">
        <v>368</v>
      </c>
      <c r="P49" t="s">
        <v>368</v>
      </c>
      <c r="Q49">
        <v>1</v>
      </c>
      <c r="X49">
        <v>0.3</v>
      </c>
      <c r="Y49">
        <v>31.49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156</v>
      </c>
      <c r="AG49">
        <v>0.89999999999999991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ROW(Source!A88)</f>
        <v>88</v>
      </c>
      <c r="B50">
        <v>1474089794</v>
      </c>
      <c r="C50">
        <v>1471519876</v>
      </c>
      <c r="D50">
        <v>1441834654</v>
      </c>
      <c r="E50">
        <v>1</v>
      </c>
      <c r="F50">
        <v>1</v>
      </c>
      <c r="G50">
        <v>15514512</v>
      </c>
      <c r="H50">
        <v>3</v>
      </c>
      <c r="I50" t="s">
        <v>397</v>
      </c>
      <c r="J50" t="s">
        <v>398</v>
      </c>
      <c r="K50" t="s">
        <v>399</v>
      </c>
      <c r="L50">
        <v>1296</v>
      </c>
      <c r="N50">
        <v>1002</v>
      </c>
      <c r="O50" t="s">
        <v>365</v>
      </c>
      <c r="P50" t="s">
        <v>365</v>
      </c>
      <c r="Q50">
        <v>1</v>
      </c>
      <c r="X50">
        <v>2</v>
      </c>
      <c r="Y50">
        <v>2895.42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156</v>
      </c>
      <c r="AG50">
        <v>6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ROW(Source!A88)</f>
        <v>88</v>
      </c>
      <c r="B51">
        <v>1474089795</v>
      </c>
      <c r="C51">
        <v>1471519876</v>
      </c>
      <c r="D51">
        <v>1441834667</v>
      </c>
      <c r="E51">
        <v>1</v>
      </c>
      <c r="F51">
        <v>1</v>
      </c>
      <c r="G51">
        <v>15514512</v>
      </c>
      <c r="H51">
        <v>3</v>
      </c>
      <c r="I51" t="s">
        <v>403</v>
      </c>
      <c r="J51" t="s">
        <v>404</v>
      </c>
      <c r="K51" t="s">
        <v>405</v>
      </c>
      <c r="L51">
        <v>1346</v>
      </c>
      <c r="N51">
        <v>1009</v>
      </c>
      <c r="O51" t="s">
        <v>368</v>
      </c>
      <c r="P51" t="s">
        <v>368</v>
      </c>
      <c r="Q51">
        <v>1</v>
      </c>
      <c r="X51">
        <v>0.2</v>
      </c>
      <c r="Y51">
        <v>197.72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156</v>
      </c>
      <c r="AG51">
        <v>0.60000000000000009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ROW(Source!A88)</f>
        <v>88</v>
      </c>
      <c r="B52">
        <v>1474089796</v>
      </c>
      <c r="C52">
        <v>1471519876</v>
      </c>
      <c r="D52">
        <v>1441834896</v>
      </c>
      <c r="E52">
        <v>1</v>
      </c>
      <c r="F52">
        <v>1</v>
      </c>
      <c r="G52">
        <v>15514512</v>
      </c>
      <c r="H52">
        <v>3</v>
      </c>
      <c r="I52" t="s">
        <v>406</v>
      </c>
      <c r="J52" t="s">
        <v>407</v>
      </c>
      <c r="K52" t="s">
        <v>408</v>
      </c>
      <c r="L52">
        <v>1348</v>
      </c>
      <c r="N52">
        <v>1009</v>
      </c>
      <c r="O52" t="s">
        <v>377</v>
      </c>
      <c r="P52" t="s">
        <v>377</v>
      </c>
      <c r="Q52">
        <v>1000</v>
      </c>
      <c r="X52">
        <v>1.1E-4</v>
      </c>
      <c r="Y52">
        <v>70975.399999999994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156</v>
      </c>
      <c r="AG52">
        <v>3.3E-4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ROW(Source!A89)</f>
        <v>89</v>
      </c>
      <c r="B53">
        <v>1474089797</v>
      </c>
      <c r="C53">
        <v>1471519892</v>
      </c>
      <c r="D53">
        <v>1441819193</v>
      </c>
      <c r="E53">
        <v>15514512</v>
      </c>
      <c r="F53">
        <v>1</v>
      </c>
      <c r="G53">
        <v>15514512</v>
      </c>
      <c r="H53">
        <v>1</v>
      </c>
      <c r="I53" t="s">
        <v>355</v>
      </c>
      <c r="J53" t="s">
        <v>3</v>
      </c>
      <c r="K53" t="s">
        <v>356</v>
      </c>
      <c r="L53">
        <v>1191</v>
      </c>
      <c r="N53">
        <v>1013</v>
      </c>
      <c r="O53" t="s">
        <v>357</v>
      </c>
      <c r="P53" t="s">
        <v>357</v>
      </c>
      <c r="Q53">
        <v>1</v>
      </c>
      <c r="X53">
        <v>9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152</v>
      </c>
      <c r="AG53">
        <v>45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ROW(Source!A89)</f>
        <v>89</v>
      </c>
      <c r="B54">
        <v>1474089798</v>
      </c>
      <c r="C54">
        <v>1471519892</v>
      </c>
      <c r="D54">
        <v>1441836235</v>
      </c>
      <c r="E54">
        <v>1</v>
      </c>
      <c r="F54">
        <v>1</v>
      </c>
      <c r="G54">
        <v>15514512</v>
      </c>
      <c r="H54">
        <v>3</v>
      </c>
      <c r="I54" t="s">
        <v>388</v>
      </c>
      <c r="J54" t="s">
        <v>389</v>
      </c>
      <c r="K54" t="s">
        <v>390</v>
      </c>
      <c r="L54">
        <v>1346</v>
      </c>
      <c r="N54">
        <v>1009</v>
      </c>
      <c r="O54" t="s">
        <v>368</v>
      </c>
      <c r="P54" t="s">
        <v>368</v>
      </c>
      <c r="Q54">
        <v>1</v>
      </c>
      <c r="X54">
        <v>0.3</v>
      </c>
      <c r="Y54">
        <v>31.49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152</v>
      </c>
      <c r="AG54">
        <v>1.5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ROW(Source!A90)</f>
        <v>90</v>
      </c>
      <c r="B55">
        <v>1474089799</v>
      </c>
      <c r="C55">
        <v>1471519899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355</v>
      </c>
      <c r="J55" t="s">
        <v>3</v>
      </c>
      <c r="K55" t="s">
        <v>356</v>
      </c>
      <c r="L55">
        <v>1191</v>
      </c>
      <c r="N55">
        <v>1013</v>
      </c>
      <c r="O55" t="s">
        <v>357</v>
      </c>
      <c r="P55" t="s">
        <v>357</v>
      </c>
      <c r="Q55">
        <v>1</v>
      </c>
      <c r="X55">
        <v>0.57999999999999996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0.57999999999999996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ROW(Source!A90)</f>
        <v>90</v>
      </c>
      <c r="B56">
        <v>1474089800</v>
      </c>
      <c r="C56">
        <v>1471519899</v>
      </c>
      <c r="D56">
        <v>1441836235</v>
      </c>
      <c r="E56">
        <v>1</v>
      </c>
      <c r="F56">
        <v>1</v>
      </c>
      <c r="G56">
        <v>15514512</v>
      </c>
      <c r="H56">
        <v>3</v>
      </c>
      <c r="I56" t="s">
        <v>388</v>
      </c>
      <c r="J56" t="s">
        <v>389</v>
      </c>
      <c r="K56" t="s">
        <v>390</v>
      </c>
      <c r="L56">
        <v>1346</v>
      </c>
      <c r="N56">
        <v>1009</v>
      </c>
      <c r="O56" t="s">
        <v>368</v>
      </c>
      <c r="P56" t="s">
        <v>368</v>
      </c>
      <c r="Q56">
        <v>1</v>
      </c>
      <c r="X56">
        <v>0.02</v>
      </c>
      <c r="Y56">
        <v>31.49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0.02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ROW(Source!A126)</f>
        <v>126</v>
      </c>
      <c r="B57">
        <v>1474089801</v>
      </c>
      <c r="C57">
        <v>1471519910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355</v>
      </c>
      <c r="J57" t="s">
        <v>3</v>
      </c>
      <c r="K57" t="s">
        <v>356</v>
      </c>
      <c r="L57">
        <v>1191</v>
      </c>
      <c r="N57">
        <v>1013</v>
      </c>
      <c r="O57" t="s">
        <v>357</v>
      </c>
      <c r="P57" t="s">
        <v>357</v>
      </c>
      <c r="Q57">
        <v>1</v>
      </c>
      <c r="X57">
        <v>24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24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ROW(Source!A126)</f>
        <v>126</v>
      </c>
      <c r="B58">
        <v>1474089803</v>
      </c>
      <c r="C58">
        <v>1471519910</v>
      </c>
      <c r="D58">
        <v>1441836237</v>
      </c>
      <c r="E58">
        <v>1</v>
      </c>
      <c r="F58">
        <v>1</v>
      </c>
      <c r="G58">
        <v>15514512</v>
      </c>
      <c r="H58">
        <v>3</v>
      </c>
      <c r="I58" t="s">
        <v>409</v>
      </c>
      <c r="J58" t="s">
        <v>410</v>
      </c>
      <c r="K58" t="s">
        <v>411</v>
      </c>
      <c r="L58">
        <v>1346</v>
      </c>
      <c r="N58">
        <v>1009</v>
      </c>
      <c r="O58" t="s">
        <v>368</v>
      </c>
      <c r="P58" t="s">
        <v>368</v>
      </c>
      <c r="Q58">
        <v>1</v>
      </c>
      <c r="X58">
        <v>0.48</v>
      </c>
      <c r="Y58">
        <v>375.16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0.48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ROW(Source!A126)</f>
        <v>126</v>
      </c>
      <c r="B59">
        <v>1474089804</v>
      </c>
      <c r="C59">
        <v>1471519910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388</v>
      </c>
      <c r="J59" t="s">
        <v>389</v>
      </c>
      <c r="K59" t="s">
        <v>390</v>
      </c>
      <c r="L59">
        <v>1346</v>
      </c>
      <c r="N59">
        <v>1009</v>
      </c>
      <c r="O59" t="s">
        <v>368</v>
      </c>
      <c r="P59" t="s">
        <v>368</v>
      </c>
      <c r="Q59">
        <v>1</v>
      </c>
      <c r="X59">
        <v>0.14000000000000001</v>
      </c>
      <c r="Y59">
        <v>31.49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0.14000000000000001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ROW(Source!A126)</f>
        <v>126</v>
      </c>
      <c r="B60">
        <v>1474089802</v>
      </c>
      <c r="C60">
        <v>1471519910</v>
      </c>
      <c r="D60">
        <v>1441822228</v>
      </c>
      <c r="E60">
        <v>15514512</v>
      </c>
      <c r="F60">
        <v>1</v>
      </c>
      <c r="G60">
        <v>15514512</v>
      </c>
      <c r="H60">
        <v>3</v>
      </c>
      <c r="I60" t="s">
        <v>412</v>
      </c>
      <c r="J60" t="s">
        <v>3</v>
      </c>
      <c r="K60" t="s">
        <v>413</v>
      </c>
      <c r="L60">
        <v>1346</v>
      </c>
      <c r="N60">
        <v>1009</v>
      </c>
      <c r="O60" t="s">
        <v>368</v>
      </c>
      <c r="P60" t="s">
        <v>368</v>
      </c>
      <c r="Q60">
        <v>1</v>
      </c>
      <c r="X60">
        <v>0.14000000000000001</v>
      </c>
      <c r="Y60">
        <v>73.951729999999998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0.14000000000000001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ROW(Source!A126)</f>
        <v>126</v>
      </c>
      <c r="B61">
        <v>1474089805</v>
      </c>
      <c r="C61">
        <v>1471519910</v>
      </c>
      <c r="D61">
        <v>1441834920</v>
      </c>
      <c r="E61">
        <v>1</v>
      </c>
      <c r="F61">
        <v>1</v>
      </c>
      <c r="G61">
        <v>15514512</v>
      </c>
      <c r="H61">
        <v>3</v>
      </c>
      <c r="I61" t="s">
        <v>414</v>
      </c>
      <c r="J61" t="s">
        <v>415</v>
      </c>
      <c r="K61" t="s">
        <v>416</v>
      </c>
      <c r="L61">
        <v>1346</v>
      </c>
      <c r="N61">
        <v>1009</v>
      </c>
      <c r="O61" t="s">
        <v>368</v>
      </c>
      <c r="P61" t="s">
        <v>368</v>
      </c>
      <c r="Q61">
        <v>1</v>
      </c>
      <c r="X61">
        <v>0.1</v>
      </c>
      <c r="Y61">
        <v>106.87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0.1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ROW(Source!A127)</f>
        <v>127</v>
      </c>
      <c r="B62">
        <v>1474089806</v>
      </c>
      <c r="C62">
        <v>1471519926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355</v>
      </c>
      <c r="J62" t="s">
        <v>3</v>
      </c>
      <c r="K62" t="s">
        <v>356</v>
      </c>
      <c r="L62">
        <v>1191</v>
      </c>
      <c r="N62">
        <v>1013</v>
      </c>
      <c r="O62" t="s">
        <v>357</v>
      </c>
      <c r="P62" t="s">
        <v>357</v>
      </c>
      <c r="Q62">
        <v>1</v>
      </c>
      <c r="X62">
        <v>0.8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156</v>
      </c>
      <c r="AG62">
        <v>2.4000000000000004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ROW(Source!A127)</f>
        <v>127</v>
      </c>
      <c r="B63">
        <v>1474089807</v>
      </c>
      <c r="C63">
        <v>1471519926</v>
      </c>
      <c r="D63">
        <v>1441822228</v>
      </c>
      <c r="E63">
        <v>15514512</v>
      </c>
      <c r="F63">
        <v>1</v>
      </c>
      <c r="G63">
        <v>15514512</v>
      </c>
      <c r="H63">
        <v>3</v>
      </c>
      <c r="I63" t="s">
        <v>412</v>
      </c>
      <c r="J63" t="s">
        <v>3</v>
      </c>
      <c r="K63" t="s">
        <v>413</v>
      </c>
      <c r="L63">
        <v>1346</v>
      </c>
      <c r="N63">
        <v>1009</v>
      </c>
      <c r="O63" t="s">
        <v>368</v>
      </c>
      <c r="P63" t="s">
        <v>368</v>
      </c>
      <c r="Q63">
        <v>1</v>
      </c>
      <c r="X63">
        <v>0.01</v>
      </c>
      <c r="Y63">
        <v>73.951729999999998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156</v>
      </c>
      <c r="AG63">
        <v>0.03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ROW(Source!A128)</f>
        <v>128</v>
      </c>
      <c r="B64">
        <v>1474089808</v>
      </c>
      <c r="C64">
        <v>1471519933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355</v>
      </c>
      <c r="J64" t="s">
        <v>3</v>
      </c>
      <c r="K64" t="s">
        <v>356</v>
      </c>
      <c r="L64">
        <v>1191</v>
      </c>
      <c r="N64">
        <v>1013</v>
      </c>
      <c r="O64" t="s">
        <v>357</v>
      </c>
      <c r="P64" t="s">
        <v>357</v>
      </c>
      <c r="Q64">
        <v>1</v>
      </c>
      <c r="X64">
        <v>1.59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3</v>
      </c>
      <c r="AG64">
        <v>1.59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ROW(Source!A128)</f>
        <v>128</v>
      </c>
      <c r="B65">
        <v>1474089809</v>
      </c>
      <c r="C65">
        <v>1471519933</v>
      </c>
      <c r="D65">
        <v>1441836235</v>
      </c>
      <c r="E65">
        <v>1</v>
      </c>
      <c r="F65">
        <v>1</v>
      </c>
      <c r="G65">
        <v>15514512</v>
      </c>
      <c r="H65">
        <v>3</v>
      </c>
      <c r="I65" t="s">
        <v>388</v>
      </c>
      <c r="J65" t="s">
        <v>389</v>
      </c>
      <c r="K65" t="s">
        <v>390</v>
      </c>
      <c r="L65">
        <v>1346</v>
      </c>
      <c r="N65">
        <v>1009</v>
      </c>
      <c r="O65" t="s">
        <v>368</v>
      </c>
      <c r="P65" t="s">
        <v>368</v>
      </c>
      <c r="Q65">
        <v>1</v>
      </c>
      <c r="X65">
        <v>0.01</v>
      </c>
      <c r="Y65">
        <v>31.49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0.01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ROW(Source!A129)</f>
        <v>129</v>
      </c>
      <c r="B66">
        <v>1474089810</v>
      </c>
      <c r="C66">
        <v>1471519940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355</v>
      </c>
      <c r="J66" t="s">
        <v>3</v>
      </c>
      <c r="K66" t="s">
        <v>356</v>
      </c>
      <c r="L66">
        <v>1191</v>
      </c>
      <c r="N66">
        <v>1013</v>
      </c>
      <c r="O66" t="s">
        <v>357</v>
      </c>
      <c r="P66" t="s">
        <v>357</v>
      </c>
      <c r="Q66">
        <v>1</v>
      </c>
      <c r="X66">
        <v>0.14000000000000001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0.14000000000000001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ROW(Source!A129)</f>
        <v>129</v>
      </c>
      <c r="B67">
        <v>1474089811</v>
      </c>
      <c r="C67">
        <v>1471519940</v>
      </c>
      <c r="D67">
        <v>1441834213</v>
      </c>
      <c r="E67">
        <v>1</v>
      </c>
      <c r="F67">
        <v>1</v>
      </c>
      <c r="G67">
        <v>15514512</v>
      </c>
      <c r="H67">
        <v>2</v>
      </c>
      <c r="I67" t="s">
        <v>417</v>
      </c>
      <c r="J67" t="s">
        <v>418</v>
      </c>
      <c r="K67" t="s">
        <v>419</v>
      </c>
      <c r="L67">
        <v>1368</v>
      </c>
      <c r="N67">
        <v>1011</v>
      </c>
      <c r="O67" t="s">
        <v>361</v>
      </c>
      <c r="P67" t="s">
        <v>361</v>
      </c>
      <c r="Q67">
        <v>1</v>
      </c>
      <c r="X67">
        <v>0.03</v>
      </c>
      <c r="Y67">
        <v>0</v>
      </c>
      <c r="Z67">
        <v>7.68</v>
      </c>
      <c r="AA67">
        <v>0.05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0.03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ROW(Source!A129)</f>
        <v>129</v>
      </c>
      <c r="B68">
        <v>1474089812</v>
      </c>
      <c r="C68">
        <v>1471519940</v>
      </c>
      <c r="D68">
        <v>1441836235</v>
      </c>
      <c r="E68">
        <v>1</v>
      </c>
      <c r="F68">
        <v>1</v>
      </c>
      <c r="G68">
        <v>15514512</v>
      </c>
      <c r="H68">
        <v>3</v>
      </c>
      <c r="I68" t="s">
        <v>388</v>
      </c>
      <c r="J68" t="s">
        <v>389</v>
      </c>
      <c r="K68" t="s">
        <v>390</v>
      </c>
      <c r="L68">
        <v>1346</v>
      </c>
      <c r="N68">
        <v>1009</v>
      </c>
      <c r="O68" t="s">
        <v>368</v>
      </c>
      <c r="P68" t="s">
        <v>368</v>
      </c>
      <c r="Q68">
        <v>1</v>
      </c>
      <c r="X68">
        <v>7.0000000000000007E-2</v>
      </c>
      <c r="Y68">
        <v>31.49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7.0000000000000007E-2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ROW(Source!A130)</f>
        <v>130</v>
      </c>
      <c r="B69">
        <v>1474089813</v>
      </c>
      <c r="C69">
        <v>1471519958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355</v>
      </c>
      <c r="J69" t="s">
        <v>3</v>
      </c>
      <c r="K69" t="s">
        <v>356</v>
      </c>
      <c r="L69">
        <v>1191</v>
      </c>
      <c r="N69">
        <v>1013</v>
      </c>
      <c r="O69" t="s">
        <v>357</v>
      </c>
      <c r="P69" t="s">
        <v>357</v>
      </c>
      <c r="Q69">
        <v>1</v>
      </c>
      <c r="X69">
        <v>0.41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156</v>
      </c>
      <c r="AG69">
        <v>1.23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ROW(Source!A131)</f>
        <v>131</v>
      </c>
      <c r="B70">
        <v>1474089814</v>
      </c>
      <c r="C70">
        <v>1471519962</v>
      </c>
      <c r="D70">
        <v>1441819193</v>
      </c>
      <c r="E70">
        <v>15514512</v>
      </c>
      <c r="F70">
        <v>1</v>
      </c>
      <c r="G70">
        <v>15514512</v>
      </c>
      <c r="H70">
        <v>1</v>
      </c>
      <c r="I70" t="s">
        <v>355</v>
      </c>
      <c r="J70" t="s">
        <v>3</v>
      </c>
      <c r="K70" t="s">
        <v>356</v>
      </c>
      <c r="L70">
        <v>1191</v>
      </c>
      <c r="N70">
        <v>1013</v>
      </c>
      <c r="O70" t="s">
        <v>357</v>
      </c>
      <c r="P70" t="s">
        <v>357</v>
      </c>
      <c r="Q70">
        <v>1</v>
      </c>
      <c r="X70">
        <v>0.56999999999999995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82</v>
      </c>
      <c r="AG70">
        <v>139.64999999999998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ROW(Source!A131)</f>
        <v>131</v>
      </c>
      <c r="B71">
        <v>1474089815</v>
      </c>
      <c r="C71">
        <v>1471519962</v>
      </c>
      <c r="D71">
        <v>1441836373</v>
      </c>
      <c r="E71">
        <v>1</v>
      </c>
      <c r="F71">
        <v>1</v>
      </c>
      <c r="G71">
        <v>15514512</v>
      </c>
      <c r="H71">
        <v>3</v>
      </c>
      <c r="I71" t="s">
        <v>420</v>
      </c>
      <c r="J71" t="s">
        <v>421</v>
      </c>
      <c r="K71" t="s">
        <v>422</v>
      </c>
      <c r="L71">
        <v>1296</v>
      </c>
      <c r="N71">
        <v>1002</v>
      </c>
      <c r="O71" t="s">
        <v>365</v>
      </c>
      <c r="P71" t="s">
        <v>365</v>
      </c>
      <c r="Q71">
        <v>1</v>
      </c>
      <c r="X71">
        <v>0.3</v>
      </c>
      <c r="Y71">
        <v>134.46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82</v>
      </c>
      <c r="AG71">
        <v>73.5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ROW(Source!A131)</f>
        <v>131</v>
      </c>
      <c r="B72">
        <v>1474089816</v>
      </c>
      <c r="C72">
        <v>1471519962</v>
      </c>
      <c r="D72">
        <v>1441836514</v>
      </c>
      <c r="E72">
        <v>1</v>
      </c>
      <c r="F72">
        <v>1</v>
      </c>
      <c r="G72">
        <v>15514512</v>
      </c>
      <c r="H72">
        <v>3</v>
      </c>
      <c r="I72" t="s">
        <v>378</v>
      </c>
      <c r="J72" t="s">
        <v>379</v>
      </c>
      <c r="K72" t="s">
        <v>380</v>
      </c>
      <c r="L72">
        <v>1339</v>
      </c>
      <c r="N72">
        <v>1007</v>
      </c>
      <c r="O72" t="s">
        <v>381</v>
      </c>
      <c r="P72" t="s">
        <v>381</v>
      </c>
      <c r="Q72">
        <v>1</v>
      </c>
      <c r="X72">
        <v>0.01</v>
      </c>
      <c r="Y72">
        <v>54.81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82</v>
      </c>
      <c r="AG72">
        <v>2.4500000000000002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ROW(Source!A132)</f>
        <v>132</v>
      </c>
      <c r="B73">
        <v>1474089817</v>
      </c>
      <c r="C73">
        <v>1471519972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355</v>
      </c>
      <c r="J73" t="s">
        <v>3</v>
      </c>
      <c r="K73" t="s">
        <v>356</v>
      </c>
      <c r="L73">
        <v>1191</v>
      </c>
      <c r="N73">
        <v>1013</v>
      </c>
      <c r="O73" t="s">
        <v>357</v>
      </c>
      <c r="P73" t="s">
        <v>357</v>
      </c>
      <c r="Q73">
        <v>1</v>
      </c>
      <c r="X73">
        <v>0.34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0.34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ROW(Source!A132)</f>
        <v>132</v>
      </c>
      <c r="B74">
        <v>1474089818</v>
      </c>
      <c r="C74">
        <v>1471519972</v>
      </c>
      <c r="D74">
        <v>1441836912</v>
      </c>
      <c r="E74">
        <v>1</v>
      </c>
      <c r="F74">
        <v>1</v>
      </c>
      <c r="G74">
        <v>15514512</v>
      </c>
      <c r="H74">
        <v>3</v>
      </c>
      <c r="I74" t="s">
        <v>394</v>
      </c>
      <c r="J74" t="s">
        <v>395</v>
      </c>
      <c r="K74" t="s">
        <v>396</v>
      </c>
      <c r="L74">
        <v>1354</v>
      </c>
      <c r="N74">
        <v>16987630</v>
      </c>
      <c r="O74" t="s">
        <v>39</v>
      </c>
      <c r="P74" t="s">
        <v>39</v>
      </c>
      <c r="Q74">
        <v>1</v>
      </c>
      <c r="X74">
        <v>0.3</v>
      </c>
      <c r="Y74">
        <v>27.52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0.3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ROW(Source!A133)</f>
        <v>133</v>
      </c>
      <c r="B75">
        <v>1474089819</v>
      </c>
      <c r="C75">
        <v>1471519979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355</v>
      </c>
      <c r="J75" t="s">
        <v>3</v>
      </c>
      <c r="K75" t="s">
        <v>356</v>
      </c>
      <c r="L75">
        <v>1191</v>
      </c>
      <c r="N75">
        <v>1013</v>
      </c>
      <c r="O75" t="s">
        <v>357</v>
      </c>
      <c r="P75" t="s">
        <v>357</v>
      </c>
      <c r="Q75">
        <v>1</v>
      </c>
      <c r="X75">
        <v>0.18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197</v>
      </c>
      <c r="AG75">
        <v>0.18720000000000001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ROW(Source!A133)</f>
        <v>133</v>
      </c>
      <c r="B76">
        <v>1474089820</v>
      </c>
      <c r="C76">
        <v>1471519979</v>
      </c>
      <c r="D76">
        <v>1441836235</v>
      </c>
      <c r="E76">
        <v>1</v>
      </c>
      <c r="F76">
        <v>1</v>
      </c>
      <c r="G76">
        <v>15514512</v>
      </c>
      <c r="H76">
        <v>3</v>
      </c>
      <c r="I76" t="s">
        <v>388</v>
      </c>
      <c r="J76" t="s">
        <v>389</v>
      </c>
      <c r="K76" t="s">
        <v>390</v>
      </c>
      <c r="L76">
        <v>1346</v>
      </c>
      <c r="N76">
        <v>1009</v>
      </c>
      <c r="O76" t="s">
        <v>368</v>
      </c>
      <c r="P76" t="s">
        <v>368</v>
      </c>
      <c r="Q76">
        <v>1</v>
      </c>
      <c r="X76">
        <v>0.04</v>
      </c>
      <c r="Y76">
        <v>31.49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0.04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ROW(Source!A134)</f>
        <v>134</v>
      </c>
      <c r="B77">
        <v>1474089821</v>
      </c>
      <c r="C77">
        <v>1471519986</v>
      </c>
      <c r="D77">
        <v>1441819193</v>
      </c>
      <c r="E77">
        <v>15514512</v>
      </c>
      <c r="F77">
        <v>1</v>
      </c>
      <c r="G77">
        <v>15514512</v>
      </c>
      <c r="H77">
        <v>1</v>
      </c>
      <c r="I77" t="s">
        <v>355</v>
      </c>
      <c r="J77" t="s">
        <v>3</v>
      </c>
      <c r="K77" t="s">
        <v>356</v>
      </c>
      <c r="L77">
        <v>1191</v>
      </c>
      <c r="N77">
        <v>1013</v>
      </c>
      <c r="O77" t="s">
        <v>357</v>
      </c>
      <c r="P77" t="s">
        <v>357</v>
      </c>
      <c r="Q77">
        <v>1</v>
      </c>
      <c r="X77">
        <v>0.3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197</v>
      </c>
      <c r="AG77">
        <v>0.312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ROW(Source!A134)</f>
        <v>134</v>
      </c>
      <c r="B78">
        <v>1474089822</v>
      </c>
      <c r="C78">
        <v>1471519986</v>
      </c>
      <c r="D78">
        <v>1441836235</v>
      </c>
      <c r="E78">
        <v>1</v>
      </c>
      <c r="F78">
        <v>1</v>
      </c>
      <c r="G78">
        <v>15514512</v>
      </c>
      <c r="H78">
        <v>3</v>
      </c>
      <c r="I78" t="s">
        <v>388</v>
      </c>
      <c r="J78" t="s">
        <v>389</v>
      </c>
      <c r="K78" t="s">
        <v>390</v>
      </c>
      <c r="L78">
        <v>1346</v>
      </c>
      <c r="N78">
        <v>1009</v>
      </c>
      <c r="O78" t="s">
        <v>368</v>
      </c>
      <c r="P78" t="s">
        <v>368</v>
      </c>
      <c r="Q78">
        <v>1</v>
      </c>
      <c r="X78">
        <v>0.02</v>
      </c>
      <c r="Y78">
        <v>31.49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0.02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ROW(Source!A135)</f>
        <v>135</v>
      </c>
      <c r="B79">
        <v>1474089823</v>
      </c>
      <c r="C79">
        <v>1471520008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355</v>
      </c>
      <c r="J79" t="s">
        <v>3</v>
      </c>
      <c r="K79" t="s">
        <v>356</v>
      </c>
      <c r="L79">
        <v>1191</v>
      </c>
      <c r="N79">
        <v>1013</v>
      </c>
      <c r="O79" t="s">
        <v>357</v>
      </c>
      <c r="P79" t="s">
        <v>357</v>
      </c>
      <c r="Q79">
        <v>1</v>
      </c>
      <c r="X79">
        <v>0.4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197</v>
      </c>
      <c r="AG79">
        <v>0.41600000000000004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ROW(Source!A135)</f>
        <v>135</v>
      </c>
      <c r="B80">
        <v>1474089824</v>
      </c>
      <c r="C80">
        <v>1471520008</v>
      </c>
      <c r="D80">
        <v>1441836235</v>
      </c>
      <c r="E80">
        <v>1</v>
      </c>
      <c r="F80">
        <v>1</v>
      </c>
      <c r="G80">
        <v>15514512</v>
      </c>
      <c r="H80">
        <v>3</v>
      </c>
      <c r="I80" t="s">
        <v>388</v>
      </c>
      <c r="J80" t="s">
        <v>389</v>
      </c>
      <c r="K80" t="s">
        <v>390</v>
      </c>
      <c r="L80">
        <v>1346</v>
      </c>
      <c r="N80">
        <v>1009</v>
      </c>
      <c r="O80" t="s">
        <v>368</v>
      </c>
      <c r="P80" t="s">
        <v>368</v>
      </c>
      <c r="Q80">
        <v>1</v>
      </c>
      <c r="X80">
        <v>0.04</v>
      </c>
      <c r="Y80">
        <v>31.49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0.04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ROW(Source!A136)</f>
        <v>136</v>
      </c>
      <c r="B81">
        <v>1474089825</v>
      </c>
      <c r="C81">
        <v>1471520015</v>
      </c>
      <c r="D81">
        <v>1441819193</v>
      </c>
      <c r="E81">
        <v>15514512</v>
      </c>
      <c r="F81">
        <v>1</v>
      </c>
      <c r="G81">
        <v>15514512</v>
      </c>
      <c r="H81">
        <v>1</v>
      </c>
      <c r="I81" t="s">
        <v>355</v>
      </c>
      <c r="J81" t="s">
        <v>3</v>
      </c>
      <c r="K81" t="s">
        <v>356</v>
      </c>
      <c r="L81">
        <v>1191</v>
      </c>
      <c r="N81">
        <v>1013</v>
      </c>
      <c r="O81" t="s">
        <v>357</v>
      </c>
      <c r="P81" t="s">
        <v>357</v>
      </c>
      <c r="Q81">
        <v>1</v>
      </c>
      <c r="X81">
        <v>0.26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57</v>
      </c>
      <c r="AG81">
        <v>1.04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ROW(Source!A136)</f>
        <v>136</v>
      </c>
      <c r="B82">
        <v>1474089826</v>
      </c>
      <c r="C82">
        <v>1471520015</v>
      </c>
      <c r="D82">
        <v>1441836235</v>
      </c>
      <c r="E82">
        <v>1</v>
      </c>
      <c r="F82">
        <v>1</v>
      </c>
      <c r="G82">
        <v>15514512</v>
      </c>
      <c r="H82">
        <v>3</v>
      </c>
      <c r="I82" t="s">
        <v>388</v>
      </c>
      <c r="J82" t="s">
        <v>389</v>
      </c>
      <c r="K82" t="s">
        <v>390</v>
      </c>
      <c r="L82">
        <v>1346</v>
      </c>
      <c r="N82">
        <v>1009</v>
      </c>
      <c r="O82" t="s">
        <v>368</v>
      </c>
      <c r="P82" t="s">
        <v>368</v>
      </c>
      <c r="Q82">
        <v>1</v>
      </c>
      <c r="X82">
        <v>0.04</v>
      </c>
      <c r="Y82">
        <v>31.49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57</v>
      </c>
      <c r="AG82">
        <v>0.16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ROW(Source!A137)</f>
        <v>137</v>
      </c>
      <c r="B83">
        <v>1474089827</v>
      </c>
      <c r="C83">
        <v>1471520022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355</v>
      </c>
      <c r="J83" t="s">
        <v>3</v>
      </c>
      <c r="K83" t="s">
        <v>356</v>
      </c>
      <c r="L83">
        <v>1191</v>
      </c>
      <c r="N83">
        <v>1013</v>
      </c>
      <c r="O83" t="s">
        <v>357</v>
      </c>
      <c r="P83" t="s">
        <v>357</v>
      </c>
      <c r="Q83">
        <v>1</v>
      </c>
      <c r="X83">
        <v>0.5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57</v>
      </c>
      <c r="AG83">
        <v>2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ROW(Source!A138)</f>
        <v>138</v>
      </c>
      <c r="B84">
        <v>1474089828</v>
      </c>
      <c r="C84">
        <v>1471520026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355</v>
      </c>
      <c r="J84" t="s">
        <v>3</v>
      </c>
      <c r="K84" t="s">
        <v>356</v>
      </c>
      <c r="L84">
        <v>1191</v>
      </c>
      <c r="N84">
        <v>1013</v>
      </c>
      <c r="O84" t="s">
        <v>357</v>
      </c>
      <c r="P84" t="s">
        <v>357</v>
      </c>
      <c r="Q84">
        <v>1</v>
      </c>
      <c r="X84">
        <v>1.76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1.76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ROW(Source!A139)</f>
        <v>139</v>
      </c>
      <c r="B85">
        <v>1474089829</v>
      </c>
      <c r="C85">
        <v>1471520030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355</v>
      </c>
      <c r="J85" t="s">
        <v>3</v>
      </c>
      <c r="K85" t="s">
        <v>356</v>
      </c>
      <c r="L85">
        <v>1191</v>
      </c>
      <c r="N85">
        <v>1013</v>
      </c>
      <c r="O85" t="s">
        <v>357</v>
      </c>
      <c r="P85" t="s">
        <v>357</v>
      </c>
      <c r="Q85">
        <v>1</v>
      </c>
      <c r="X85">
        <v>3.38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3</v>
      </c>
      <c r="AG85">
        <v>3.38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ROW(Source!A139)</f>
        <v>139</v>
      </c>
      <c r="B86">
        <v>1474089830</v>
      </c>
      <c r="C86">
        <v>1471520030</v>
      </c>
      <c r="D86">
        <v>1441836235</v>
      </c>
      <c r="E86">
        <v>1</v>
      </c>
      <c r="F86">
        <v>1</v>
      </c>
      <c r="G86">
        <v>15514512</v>
      </c>
      <c r="H86">
        <v>3</v>
      </c>
      <c r="I86" t="s">
        <v>388</v>
      </c>
      <c r="J86" t="s">
        <v>389</v>
      </c>
      <c r="K86" t="s">
        <v>390</v>
      </c>
      <c r="L86">
        <v>1346</v>
      </c>
      <c r="N86">
        <v>1009</v>
      </c>
      <c r="O86" t="s">
        <v>368</v>
      </c>
      <c r="P86" t="s">
        <v>368</v>
      </c>
      <c r="Q86">
        <v>1</v>
      </c>
      <c r="X86">
        <v>0.1</v>
      </c>
      <c r="Y86">
        <v>31.49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0.1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ROW(Source!A139)</f>
        <v>139</v>
      </c>
      <c r="B87">
        <v>1474089831</v>
      </c>
      <c r="C87">
        <v>1471520030</v>
      </c>
      <c r="D87">
        <v>1441821379</v>
      </c>
      <c r="E87">
        <v>15514512</v>
      </c>
      <c r="F87">
        <v>1</v>
      </c>
      <c r="G87">
        <v>15514512</v>
      </c>
      <c r="H87">
        <v>3</v>
      </c>
      <c r="I87" t="s">
        <v>423</v>
      </c>
      <c r="J87" t="s">
        <v>3</v>
      </c>
      <c r="K87" t="s">
        <v>424</v>
      </c>
      <c r="L87">
        <v>1346</v>
      </c>
      <c r="N87">
        <v>1009</v>
      </c>
      <c r="O87" t="s">
        <v>368</v>
      </c>
      <c r="P87" t="s">
        <v>368</v>
      </c>
      <c r="Q87">
        <v>1</v>
      </c>
      <c r="X87">
        <v>2.4E-2</v>
      </c>
      <c r="Y87">
        <v>89.933959999999999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2.4E-2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ROW(Source!A140)</f>
        <v>140</v>
      </c>
      <c r="B88">
        <v>1474089832</v>
      </c>
      <c r="C88">
        <v>1471520041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355</v>
      </c>
      <c r="J88" t="s">
        <v>3</v>
      </c>
      <c r="K88" t="s">
        <v>356</v>
      </c>
      <c r="L88">
        <v>1191</v>
      </c>
      <c r="N88">
        <v>1013</v>
      </c>
      <c r="O88" t="s">
        <v>357</v>
      </c>
      <c r="P88" t="s">
        <v>357</v>
      </c>
      <c r="Q88">
        <v>1</v>
      </c>
      <c r="X88">
        <v>6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57</v>
      </c>
      <c r="AG88">
        <v>24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ROW(Source!A140)</f>
        <v>140</v>
      </c>
      <c r="B89">
        <v>1474089833</v>
      </c>
      <c r="C89">
        <v>1471520041</v>
      </c>
      <c r="D89">
        <v>1441834258</v>
      </c>
      <c r="E89">
        <v>1</v>
      </c>
      <c r="F89">
        <v>1</v>
      </c>
      <c r="G89">
        <v>15514512</v>
      </c>
      <c r="H89">
        <v>2</v>
      </c>
      <c r="I89" t="s">
        <v>371</v>
      </c>
      <c r="J89" t="s">
        <v>372</v>
      </c>
      <c r="K89" t="s">
        <v>373</v>
      </c>
      <c r="L89">
        <v>1368</v>
      </c>
      <c r="N89">
        <v>1011</v>
      </c>
      <c r="O89" t="s">
        <v>361</v>
      </c>
      <c r="P89" t="s">
        <v>361</v>
      </c>
      <c r="Q89">
        <v>1</v>
      </c>
      <c r="X89">
        <v>0.7</v>
      </c>
      <c r="Y89">
        <v>0</v>
      </c>
      <c r="Z89">
        <v>1303.01</v>
      </c>
      <c r="AA89">
        <v>826.2</v>
      </c>
      <c r="AB89">
        <v>0</v>
      </c>
      <c r="AC89">
        <v>0</v>
      </c>
      <c r="AD89">
        <v>1</v>
      </c>
      <c r="AE89">
        <v>0</v>
      </c>
      <c r="AF89" t="s">
        <v>57</v>
      </c>
      <c r="AG89">
        <v>2.8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ROW(Source!A140)</f>
        <v>140</v>
      </c>
      <c r="B90">
        <v>1474089834</v>
      </c>
      <c r="C90">
        <v>1471520041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388</v>
      </c>
      <c r="J90" t="s">
        <v>389</v>
      </c>
      <c r="K90" t="s">
        <v>390</v>
      </c>
      <c r="L90">
        <v>1346</v>
      </c>
      <c r="N90">
        <v>1009</v>
      </c>
      <c r="O90" t="s">
        <v>368</v>
      </c>
      <c r="P90" t="s">
        <v>368</v>
      </c>
      <c r="Q90">
        <v>1</v>
      </c>
      <c r="X90">
        <v>0.03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57</v>
      </c>
      <c r="AG90">
        <v>0.12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ROW(Source!A141)</f>
        <v>141</v>
      </c>
      <c r="B91">
        <v>1474089835</v>
      </c>
      <c r="C91">
        <v>1471520051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355</v>
      </c>
      <c r="J91" t="s">
        <v>3</v>
      </c>
      <c r="K91" t="s">
        <v>356</v>
      </c>
      <c r="L91">
        <v>1191</v>
      </c>
      <c r="N91">
        <v>1013</v>
      </c>
      <c r="O91" t="s">
        <v>357</v>
      </c>
      <c r="P91" t="s">
        <v>357</v>
      </c>
      <c r="Q91">
        <v>1</v>
      </c>
      <c r="X91">
        <v>0.4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0.4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ROW(Source!A141)</f>
        <v>141</v>
      </c>
      <c r="B92">
        <v>1474089836</v>
      </c>
      <c r="C92">
        <v>1471520051</v>
      </c>
      <c r="D92">
        <v>1441836235</v>
      </c>
      <c r="E92">
        <v>1</v>
      </c>
      <c r="F92">
        <v>1</v>
      </c>
      <c r="G92">
        <v>15514512</v>
      </c>
      <c r="H92">
        <v>3</v>
      </c>
      <c r="I92" t="s">
        <v>388</v>
      </c>
      <c r="J92" t="s">
        <v>389</v>
      </c>
      <c r="K92" t="s">
        <v>390</v>
      </c>
      <c r="L92">
        <v>1346</v>
      </c>
      <c r="N92">
        <v>1009</v>
      </c>
      <c r="O92" t="s">
        <v>368</v>
      </c>
      <c r="P92" t="s">
        <v>368</v>
      </c>
      <c r="Q92">
        <v>1</v>
      </c>
      <c r="X92">
        <v>0.2</v>
      </c>
      <c r="Y92">
        <v>31.49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0.2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ROW(Source!A142)</f>
        <v>142</v>
      </c>
      <c r="B93">
        <v>1474089837</v>
      </c>
      <c r="C93">
        <v>1471520058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355</v>
      </c>
      <c r="J93" t="s">
        <v>3</v>
      </c>
      <c r="K93" t="s">
        <v>356</v>
      </c>
      <c r="L93">
        <v>1191</v>
      </c>
      <c r="N93">
        <v>1013</v>
      </c>
      <c r="O93" t="s">
        <v>357</v>
      </c>
      <c r="P93" t="s">
        <v>357</v>
      </c>
      <c r="Q93">
        <v>1</v>
      </c>
      <c r="X93">
        <v>0.18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0.18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ROW(Source!A142)</f>
        <v>142</v>
      </c>
      <c r="B94">
        <v>1474089838</v>
      </c>
      <c r="C94">
        <v>1471520058</v>
      </c>
      <c r="D94">
        <v>1441836235</v>
      </c>
      <c r="E94">
        <v>1</v>
      </c>
      <c r="F94">
        <v>1</v>
      </c>
      <c r="G94">
        <v>15514512</v>
      </c>
      <c r="H94">
        <v>3</v>
      </c>
      <c r="I94" t="s">
        <v>388</v>
      </c>
      <c r="J94" t="s">
        <v>389</v>
      </c>
      <c r="K94" t="s">
        <v>390</v>
      </c>
      <c r="L94">
        <v>1346</v>
      </c>
      <c r="N94">
        <v>1009</v>
      </c>
      <c r="O94" t="s">
        <v>368</v>
      </c>
      <c r="P94" t="s">
        <v>368</v>
      </c>
      <c r="Q94">
        <v>1</v>
      </c>
      <c r="X94">
        <v>0.2</v>
      </c>
      <c r="Y94">
        <v>31.49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0.2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ROW(Source!A143)</f>
        <v>143</v>
      </c>
      <c r="B95">
        <v>1474089839</v>
      </c>
      <c r="C95">
        <v>1471520065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355</v>
      </c>
      <c r="J95" t="s">
        <v>3</v>
      </c>
      <c r="K95" t="s">
        <v>356</v>
      </c>
      <c r="L95">
        <v>1191</v>
      </c>
      <c r="N95">
        <v>1013</v>
      </c>
      <c r="O95" t="s">
        <v>357</v>
      </c>
      <c r="P95" t="s">
        <v>357</v>
      </c>
      <c r="Q95">
        <v>1</v>
      </c>
      <c r="X95">
        <v>0.24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156</v>
      </c>
      <c r="AG95">
        <v>0.72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ROW(Source!A144)</f>
        <v>144</v>
      </c>
      <c r="B96">
        <v>1474089840</v>
      </c>
      <c r="C96">
        <v>1471520070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355</v>
      </c>
      <c r="J96" t="s">
        <v>3</v>
      </c>
      <c r="K96" t="s">
        <v>356</v>
      </c>
      <c r="L96">
        <v>1191</v>
      </c>
      <c r="N96">
        <v>1013</v>
      </c>
      <c r="O96" t="s">
        <v>357</v>
      </c>
      <c r="P96" t="s">
        <v>357</v>
      </c>
      <c r="Q96">
        <v>1</v>
      </c>
      <c r="X96">
        <v>10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10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ROW(Source!A144)</f>
        <v>144</v>
      </c>
      <c r="B97">
        <v>1474089841</v>
      </c>
      <c r="C97">
        <v>1471520070</v>
      </c>
      <c r="D97">
        <v>1441836237</v>
      </c>
      <c r="E97">
        <v>1</v>
      </c>
      <c r="F97">
        <v>1</v>
      </c>
      <c r="G97">
        <v>15514512</v>
      </c>
      <c r="H97">
        <v>3</v>
      </c>
      <c r="I97" t="s">
        <v>409</v>
      </c>
      <c r="J97" t="s">
        <v>410</v>
      </c>
      <c r="K97" t="s">
        <v>411</v>
      </c>
      <c r="L97">
        <v>1346</v>
      </c>
      <c r="N97">
        <v>1009</v>
      </c>
      <c r="O97" t="s">
        <v>368</v>
      </c>
      <c r="P97" t="s">
        <v>368</v>
      </c>
      <c r="Q97">
        <v>1</v>
      </c>
      <c r="X97">
        <v>0.06</v>
      </c>
      <c r="Y97">
        <v>375.16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0.06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ROW(Source!A145)</f>
        <v>145</v>
      </c>
      <c r="B98">
        <v>1474089842</v>
      </c>
      <c r="C98">
        <v>1471520077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355</v>
      </c>
      <c r="J98" t="s">
        <v>3</v>
      </c>
      <c r="K98" t="s">
        <v>356</v>
      </c>
      <c r="L98">
        <v>1191</v>
      </c>
      <c r="N98">
        <v>1013</v>
      </c>
      <c r="O98" t="s">
        <v>357</v>
      </c>
      <c r="P98" t="s">
        <v>357</v>
      </c>
      <c r="Q98">
        <v>1</v>
      </c>
      <c r="X98">
        <v>0.33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0.33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ROW(Source!A146)</f>
        <v>146</v>
      </c>
      <c r="B99">
        <v>1474089843</v>
      </c>
      <c r="C99">
        <v>1471520081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355</v>
      </c>
      <c r="J99" t="s">
        <v>3</v>
      </c>
      <c r="K99" t="s">
        <v>356</v>
      </c>
      <c r="L99">
        <v>1191</v>
      </c>
      <c r="N99">
        <v>1013</v>
      </c>
      <c r="O99" t="s">
        <v>357</v>
      </c>
      <c r="P99" t="s">
        <v>357</v>
      </c>
      <c r="Q99">
        <v>1</v>
      </c>
      <c r="X99">
        <v>10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10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ROW(Source!A146)</f>
        <v>146</v>
      </c>
      <c r="B100">
        <v>1474089844</v>
      </c>
      <c r="C100">
        <v>1471520081</v>
      </c>
      <c r="D100">
        <v>1441836237</v>
      </c>
      <c r="E100">
        <v>1</v>
      </c>
      <c r="F100">
        <v>1</v>
      </c>
      <c r="G100">
        <v>15514512</v>
      </c>
      <c r="H100">
        <v>3</v>
      </c>
      <c r="I100" t="s">
        <v>409</v>
      </c>
      <c r="J100" t="s">
        <v>410</v>
      </c>
      <c r="K100" t="s">
        <v>411</v>
      </c>
      <c r="L100">
        <v>1346</v>
      </c>
      <c r="N100">
        <v>1009</v>
      </c>
      <c r="O100" t="s">
        <v>368</v>
      </c>
      <c r="P100" t="s">
        <v>368</v>
      </c>
      <c r="Q100">
        <v>1</v>
      </c>
      <c r="X100">
        <v>0.06</v>
      </c>
      <c r="Y100">
        <v>375.16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0.06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ROW(Source!A147)</f>
        <v>147</v>
      </c>
      <c r="B101">
        <v>1474089845</v>
      </c>
      <c r="C101">
        <v>1471520088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355</v>
      </c>
      <c r="J101" t="s">
        <v>3</v>
      </c>
      <c r="K101" t="s">
        <v>356</v>
      </c>
      <c r="L101">
        <v>1191</v>
      </c>
      <c r="N101">
        <v>1013</v>
      </c>
      <c r="O101" t="s">
        <v>357</v>
      </c>
      <c r="P101" t="s">
        <v>357</v>
      </c>
      <c r="Q101">
        <v>1</v>
      </c>
      <c r="X101">
        <v>0.33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3</v>
      </c>
      <c r="AG101">
        <v>0.33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ROW(Source!A217)</f>
        <v>217</v>
      </c>
      <c r="B102">
        <v>1474089846</v>
      </c>
      <c r="C102">
        <v>1471520093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355</v>
      </c>
      <c r="J102" t="s">
        <v>3</v>
      </c>
      <c r="K102" t="s">
        <v>356</v>
      </c>
      <c r="L102">
        <v>1191</v>
      </c>
      <c r="N102">
        <v>1013</v>
      </c>
      <c r="O102" t="s">
        <v>357</v>
      </c>
      <c r="P102" t="s">
        <v>357</v>
      </c>
      <c r="Q102">
        <v>1</v>
      </c>
      <c r="X102">
        <v>1.26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20</v>
      </c>
      <c r="AG102">
        <v>21.42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ROW(Source!A218)</f>
        <v>218</v>
      </c>
      <c r="B103">
        <v>1474089847</v>
      </c>
      <c r="C103">
        <v>1471520097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355</v>
      </c>
      <c r="J103" t="s">
        <v>3</v>
      </c>
      <c r="K103" t="s">
        <v>356</v>
      </c>
      <c r="L103">
        <v>1191</v>
      </c>
      <c r="N103">
        <v>1013</v>
      </c>
      <c r="O103" t="s">
        <v>357</v>
      </c>
      <c r="P103" t="s">
        <v>357</v>
      </c>
      <c r="Q103">
        <v>1</v>
      </c>
      <c r="X103">
        <v>0.23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27</v>
      </c>
      <c r="AG103">
        <v>7.82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ROW(Source!A219)</f>
        <v>219</v>
      </c>
      <c r="B104">
        <v>1474089848</v>
      </c>
      <c r="C104">
        <v>1471520101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355</v>
      </c>
      <c r="J104" t="s">
        <v>3</v>
      </c>
      <c r="K104" t="s">
        <v>356</v>
      </c>
      <c r="L104">
        <v>1191</v>
      </c>
      <c r="N104">
        <v>1013</v>
      </c>
      <c r="O104" t="s">
        <v>357</v>
      </c>
      <c r="P104" t="s">
        <v>357</v>
      </c>
      <c r="Q104">
        <v>1</v>
      </c>
      <c r="X104">
        <v>104.44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104.44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ROW(Source!A219)</f>
        <v>219</v>
      </c>
      <c r="B105">
        <v>1474089849</v>
      </c>
      <c r="C105">
        <v>1471520101</v>
      </c>
      <c r="D105">
        <v>1441834334</v>
      </c>
      <c r="E105">
        <v>1</v>
      </c>
      <c r="F105">
        <v>1</v>
      </c>
      <c r="G105">
        <v>15514512</v>
      </c>
      <c r="H105">
        <v>2</v>
      </c>
      <c r="I105" t="s">
        <v>358</v>
      </c>
      <c r="J105" t="s">
        <v>359</v>
      </c>
      <c r="K105" t="s">
        <v>360</v>
      </c>
      <c r="L105">
        <v>1368</v>
      </c>
      <c r="N105">
        <v>1011</v>
      </c>
      <c r="O105" t="s">
        <v>361</v>
      </c>
      <c r="P105" t="s">
        <v>361</v>
      </c>
      <c r="Q105">
        <v>1</v>
      </c>
      <c r="X105">
        <v>5.8</v>
      </c>
      <c r="Y105">
        <v>0</v>
      </c>
      <c r="Z105">
        <v>10.66</v>
      </c>
      <c r="AA105">
        <v>0.12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5.8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ROW(Source!A219)</f>
        <v>219</v>
      </c>
      <c r="B106">
        <v>1474089851</v>
      </c>
      <c r="C106">
        <v>1471520101</v>
      </c>
      <c r="D106">
        <v>1441834443</v>
      </c>
      <c r="E106">
        <v>1</v>
      </c>
      <c r="F106">
        <v>1</v>
      </c>
      <c r="G106">
        <v>15514512</v>
      </c>
      <c r="H106">
        <v>3</v>
      </c>
      <c r="I106" t="s">
        <v>362</v>
      </c>
      <c r="J106" t="s">
        <v>363</v>
      </c>
      <c r="K106" t="s">
        <v>364</v>
      </c>
      <c r="L106">
        <v>1296</v>
      </c>
      <c r="N106">
        <v>1002</v>
      </c>
      <c r="O106" t="s">
        <v>365</v>
      </c>
      <c r="P106" t="s">
        <v>365</v>
      </c>
      <c r="Q106">
        <v>1</v>
      </c>
      <c r="X106">
        <v>0.31</v>
      </c>
      <c r="Y106">
        <v>785.72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0.31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ROW(Source!A219)</f>
        <v>219</v>
      </c>
      <c r="B107">
        <v>1474089852</v>
      </c>
      <c r="C107">
        <v>1471520101</v>
      </c>
      <c r="D107">
        <v>1441821225</v>
      </c>
      <c r="E107">
        <v>15514512</v>
      </c>
      <c r="F107">
        <v>1</v>
      </c>
      <c r="G107">
        <v>15514512</v>
      </c>
      <c r="H107">
        <v>3</v>
      </c>
      <c r="I107" t="s">
        <v>366</v>
      </c>
      <c r="J107" t="s">
        <v>3</v>
      </c>
      <c r="K107" t="s">
        <v>367</v>
      </c>
      <c r="L107">
        <v>1346</v>
      </c>
      <c r="N107">
        <v>1009</v>
      </c>
      <c r="O107" t="s">
        <v>368</v>
      </c>
      <c r="P107" t="s">
        <v>368</v>
      </c>
      <c r="Q107">
        <v>1</v>
      </c>
      <c r="X107">
        <v>1.08</v>
      </c>
      <c r="Y107">
        <v>292.57515999999998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1.08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ROW(Source!A219)</f>
        <v>219</v>
      </c>
      <c r="B108">
        <v>1474089850</v>
      </c>
      <c r="C108">
        <v>1471520101</v>
      </c>
      <c r="D108">
        <v>1441821223</v>
      </c>
      <c r="E108">
        <v>15514512</v>
      </c>
      <c r="F108">
        <v>1</v>
      </c>
      <c r="G108">
        <v>15514512</v>
      </c>
      <c r="H108">
        <v>3</v>
      </c>
      <c r="I108" t="s">
        <v>369</v>
      </c>
      <c r="J108" t="s">
        <v>3</v>
      </c>
      <c r="K108" t="s">
        <v>370</v>
      </c>
      <c r="L108">
        <v>1346</v>
      </c>
      <c r="N108">
        <v>1009</v>
      </c>
      <c r="O108" t="s">
        <v>368</v>
      </c>
      <c r="P108" t="s">
        <v>368</v>
      </c>
      <c r="Q108">
        <v>1</v>
      </c>
      <c r="X108">
        <v>0.98</v>
      </c>
      <c r="Y108">
        <v>221.4237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0.98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ROW(Source!A220)</f>
        <v>220</v>
      </c>
      <c r="B109">
        <v>1474089853</v>
      </c>
      <c r="C109">
        <v>1471520117</v>
      </c>
      <c r="D109">
        <v>1441819193</v>
      </c>
      <c r="E109">
        <v>15514512</v>
      </c>
      <c r="F109">
        <v>1</v>
      </c>
      <c r="G109">
        <v>15514512</v>
      </c>
      <c r="H109">
        <v>1</v>
      </c>
      <c r="I109" t="s">
        <v>355</v>
      </c>
      <c r="J109" t="s">
        <v>3</v>
      </c>
      <c r="K109" t="s">
        <v>356</v>
      </c>
      <c r="L109">
        <v>1191</v>
      </c>
      <c r="N109">
        <v>1013</v>
      </c>
      <c r="O109" t="s">
        <v>357</v>
      </c>
      <c r="P109" t="s">
        <v>357</v>
      </c>
      <c r="Q109">
        <v>1</v>
      </c>
      <c r="X109">
        <v>151.93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3</v>
      </c>
      <c r="AG109">
        <v>151.93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ROW(Source!A220)</f>
        <v>220</v>
      </c>
      <c r="B110">
        <v>1474089854</v>
      </c>
      <c r="C110">
        <v>1471520117</v>
      </c>
      <c r="D110">
        <v>1441834334</v>
      </c>
      <c r="E110">
        <v>1</v>
      </c>
      <c r="F110">
        <v>1</v>
      </c>
      <c r="G110">
        <v>15514512</v>
      </c>
      <c r="H110">
        <v>2</v>
      </c>
      <c r="I110" t="s">
        <v>358</v>
      </c>
      <c r="J110" t="s">
        <v>359</v>
      </c>
      <c r="K110" t="s">
        <v>360</v>
      </c>
      <c r="L110">
        <v>1368</v>
      </c>
      <c r="N110">
        <v>1011</v>
      </c>
      <c r="O110" t="s">
        <v>361</v>
      </c>
      <c r="P110" t="s">
        <v>361</v>
      </c>
      <c r="Q110">
        <v>1</v>
      </c>
      <c r="X110">
        <v>5.8</v>
      </c>
      <c r="Y110">
        <v>0</v>
      </c>
      <c r="Z110">
        <v>10.66</v>
      </c>
      <c r="AA110">
        <v>0.12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5.8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ROW(Source!A220)</f>
        <v>220</v>
      </c>
      <c r="B111">
        <v>1474089856</v>
      </c>
      <c r="C111">
        <v>1471520117</v>
      </c>
      <c r="D111">
        <v>1441834443</v>
      </c>
      <c r="E111">
        <v>1</v>
      </c>
      <c r="F111">
        <v>1</v>
      </c>
      <c r="G111">
        <v>15514512</v>
      </c>
      <c r="H111">
        <v>3</v>
      </c>
      <c r="I111" t="s">
        <v>362</v>
      </c>
      <c r="J111" t="s">
        <v>363</v>
      </c>
      <c r="K111" t="s">
        <v>364</v>
      </c>
      <c r="L111">
        <v>1296</v>
      </c>
      <c r="N111">
        <v>1002</v>
      </c>
      <c r="O111" t="s">
        <v>365</v>
      </c>
      <c r="P111" t="s">
        <v>365</v>
      </c>
      <c r="Q111">
        <v>1</v>
      </c>
      <c r="X111">
        <v>0.31</v>
      </c>
      <c r="Y111">
        <v>785.72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0.31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ROW(Source!A220)</f>
        <v>220</v>
      </c>
      <c r="B112">
        <v>1474089857</v>
      </c>
      <c r="C112">
        <v>1471520117</v>
      </c>
      <c r="D112">
        <v>1441821225</v>
      </c>
      <c r="E112">
        <v>15514512</v>
      </c>
      <c r="F112">
        <v>1</v>
      </c>
      <c r="G112">
        <v>15514512</v>
      </c>
      <c r="H112">
        <v>3</v>
      </c>
      <c r="I112" t="s">
        <v>366</v>
      </c>
      <c r="J112" t="s">
        <v>3</v>
      </c>
      <c r="K112" t="s">
        <v>367</v>
      </c>
      <c r="L112">
        <v>1346</v>
      </c>
      <c r="N112">
        <v>1009</v>
      </c>
      <c r="O112" t="s">
        <v>368</v>
      </c>
      <c r="P112" t="s">
        <v>368</v>
      </c>
      <c r="Q112">
        <v>1</v>
      </c>
      <c r="X112">
        <v>1.08</v>
      </c>
      <c r="Y112">
        <v>292.57515999999998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1.08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ROW(Source!A220)</f>
        <v>220</v>
      </c>
      <c r="B113">
        <v>1474089855</v>
      </c>
      <c r="C113">
        <v>1471520117</v>
      </c>
      <c r="D113">
        <v>1441821223</v>
      </c>
      <c r="E113">
        <v>15514512</v>
      </c>
      <c r="F113">
        <v>1</v>
      </c>
      <c r="G113">
        <v>15514512</v>
      </c>
      <c r="H113">
        <v>3</v>
      </c>
      <c r="I113" t="s">
        <v>369</v>
      </c>
      <c r="J113" t="s">
        <v>3</v>
      </c>
      <c r="K113" t="s">
        <v>370</v>
      </c>
      <c r="L113">
        <v>1346</v>
      </c>
      <c r="N113">
        <v>1009</v>
      </c>
      <c r="O113" t="s">
        <v>368</v>
      </c>
      <c r="P113" t="s">
        <v>368</v>
      </c>
      <c r="Q113">
        <v>1</v>
      </c>
      <c r="X113">
        <v>0.98</v>
      </c>
      <c r="Y113">
        <v>221.4237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0.98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ROW(Source!A221)</f>
        <v>221</v>
      </c>
      <c r="B114">
        <v>1474089858</v>
      </c>
      <c r="C114">
        <v>1471520144</v>
      </c>
      <c r="D114">
        <v>1441819193</v>
      </c>
      <c r="E114">
        <v>15514512</v>
      </c>
      <c r="F114">
        <v>1</v>
      </c>
      <c r="G114">
        <v>15514512</v>
      </c>
      <c r="H114">
        <v>1</v>
      </c>
      <c r="I114" t="s">
        <v>355</v>
      </c>
      <c r="J114" t="s">
        <v>3</v>
      </c>
      <c r="K114" t="s">
        <v>356</v>
      </c>
      <c r="L114">
        <v>1191</v>
      </c>
      <c r="N114">
        <v>1013</v>
      </c>
      <c r="O114" t="s">
        <v>357</v>
      </c>
      <c r="P114" t="s">
        <v>357</v>
      </c>
      <c r="Q114">
        <v>1</v>
      </c>
      <c r="X114">
        <v>0.34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1</v>
      </c>
      <c r="AF114" t="s">
        <v>152</v>
      </c>
      <c r="AG114">
        <v>1.7000000000000002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ROW(Source!A222)</f>
        <v>222</v>
      </c>
      <c r="B115">
        <v>1474089859</v>
      </c>
      <c r="C115">
        <v>1471520148</v>
      </c>
      <c r="D115">
        <v>1441819193</v>
      </c>
      <c r="E115">
        <v>15514512</v>
      </c>
      <c r="F115">
        <v>1</v>
      </c>
      <c r="G115">
        <v>15514512</v>
      </c>
      <c r="H115">
        <v>1</v>
      </c>
      <c r="I115" t="s">
        <v>355</v>
      </c>
      <c r="J115" t="s">
        <v>3</v>
      </c>
      <c r="K115" t="s">
        <v>356</v>
      </c>
      <c r="L115">
        <v>1191</v>
      </c>
      <c r="N115">
        <v>1013</v>
      </c>
      <c r="O115" t="s">
        <v>357</v>
      </c>
      <c r="P115" t="s">
        <v>357</v>
      </c>
      <c r="Q115">
        <v>1</v>
      </c>
      <c r="X115">
        <v>5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1</v>
      </c>
      <c r="AF115" t="s">
        <v>156</v>
      </c>
      <c r="AG115">
        <v>15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ROW(Source!A222)</f>
        <v>222</v>
      </c>
      <c r="B116">
        <v>1474089860</v>
      </c>
      <c r="C116">
        <v>1471520148</v>
      </c>
      <c r="D116">
        <v>1441836235</v>
      </c>
      <c r="E116">
        <v>1</v>
      </c>
      <c r="F116">
        <v>1</v>
      </c>
      <c r="G116">
        <v>15514512</v>
      </c>
      <c r="H116">
        <v>3</v>
      </c>
      <c r="I116" t="s">
        <v>388</v>
      </c>
      <c r="J116" t="s">
        <v>389</v>
      </c>
      <c r="K116" t="s">
        <v>390</v>
      </c>
      <c r="L116">
        <v>1346</v>
      </c>
      <c r="N116">
        <v>1009</v>
      </c>
      <c r="O116" t="s">
        <v>368</v>
      </c>
      <c r="P116" t="s">
        <v>368</v>
      </c>
      <c r="Q116">
        <v>1</v>
      </c>
      <c r="X116">
        <v>0.1</v>
      </c>
      <c r="Y116">
        <v>31.49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156</v>
      </c>
      <c r="AG116">
        <v>0.30000000000000004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ROW(Source!A222)</f>
        <v>222</v>
      </c>
      <c r="B117">
        <v>1474089861</v>
      </c>
      <c r="C117">
        <v>1471520148</v>
      </c>
      <c r="D117">
        <v>1441834706</v>
      </c>
      <c r="E117">
        <v>1</v>
      </c>
      <c r="F117">
        <v>1</v>
      </c>
      <c r="G117">
        <v>15514512</v>
      </c>
      <c r="H117">
        <v>3</v>
      </c>
      <c r="I117" t="s">
        <v>400</v>
      </c>
      <c r="J117" t="s">
        <v>401</v>
      </c>
      <c r="K117" t="s">
        <v>402</v>
      </c>
      <c r="L117">
        <v>1296</v>
      </c>
      <c r="N117">
        <v>1002</v>
      </c>
      <c r="O117" t="s">
        <v>365</v>
      </c>
      <c r="P117" t="s">
        <v>365</v>
      </c>
      <c r="Q117">
        <v>1</v>
      </c>
      <c r="X117">
        <v>1.7999999999999999E-2</v>
      </c>
      <c r="Y117">
        <v>7110.99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156</v>
      </c>
      <c r="AG117">
        <v>5.3999999999999992E-2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ROW(Source!A223)</f>
        <v>223</v>
      </c>
      <c r="B118">
        <v>1474089862</v>
      </c>
      <c r="C118">
        <v>1471520158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355</v>
      </c>
      <c r="J118" t="s">
        <v>3</v>
      </c>
      <c r="K118" t="s">
        <v>356</v>
      </c>
      <c r="L118">
        <v>1191</v>
      </c>
      <c r="N118">
        <v>1013</v>
      </c>
      <c r="O118" t="s">
        <v>357</v>
      </c>
      <c r="P118" t="s">
        <v>357</v>
      </c>
      <c r="Q118">
        <v>1</v>
      </c>
      <c r="X118">
        <v>0.82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0.82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ROW(Source!A224)</f>
        <v>224</v>
      </c>
      <c r="B119">
        <v>1474089863</v>
      </c>
      <c r="C119">
        <v>1471520162</v>
      </c>
      <c r="D119">
        <v>1441819193</v>
      </c>
      <c r="E119">
        <v>15514512</v>
      </c>
      <c r="F119">
        <v>1</v>
      </c>
      <c r="G119">
        <v>15514512</v>
      </c>
      <c r="H119">
        <v>1</v>
      </c>
      <c r="I119" t="s">
        <v>355</v>
      </c>
      <c r="J119" t="s">
        <v>3</v>
      </c>
      <c r="K119" t="s">
        <v>356</v>
      </c>
      <c r="L119">
        <v>1191</v>
      </c>
      <c r="N119">
        <v>1013</v>
      </c>
      <c r="O119" t="s">
        <v>357</v>
      </c>
      <c r="P119" t="s">
        <v>357</v>
      </c>
      <c r="Q119">
        <v>1</v>
      </c>
      <c r="X119">
        <v>0.37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3</v>
      </c>
      <c r="AG119">
        <v>0.37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ROW(Source!A224)</f>
        <v>224</v>
      </c>
      <c r="B120">
        <v>1474089864</v>
      </c>
      <c r="C120">
        <v>1471520162</v>
      </c>
      <c r="D120">
        <v>1441834258</v>
      </c>
      <c r="E120">
        <v>1</v>
      </c>
      <c r="F120">
        <v>1</v>
      </c>
      <c r="G120">
        <v>15514512</v>
      </c>
      <c r="H120">
        <v>2</v>
      </c>
      <c r="I120" t="s">
        <v>371</v>
      </c>
      <c r="J120" t="s">
        <v>372</v>
      </c>
      <c r="K120" t="s">
        <v>373</v>
      </c>
      <c r="L120">
        <v>1368</v>
      </c>
      <c r="N120">
        <v>1011</v>
      </c>
      <c r="O120" t="s">
        <v>361</v>
      </c>
      <c r="P120" t="s">
        <v>361</v>
      </c>
      <c r="Q120">
        <v>1</v>
      </c>
      <c r="X120">
        <v>0.06</v>
      </c>
      <c r="Y120">
        <v>0</v>
      </c>
      <c r="Z120">
        <v>1303.01</v>
      </c>
      <c r="AA120">
        <v>826.2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0.06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ROW(Source!A225)</f>
        <v>225</v>
      </c>
      <c r="B121">
        <v>1474089865</v>
      </c>
      <c r="C121">
        <v>1471520170</v>
      </c>
      <c r="D121">
        <v>1441819193</v>
      </c>
      <c r="E121">
        <v>15514512</v>
      </c>
      <c r="F121">
        <v>1</v>
      </c>
      <c r="G121">
        <v>15514512</v>
      </c>
      <c r="H121">
        <v>1</v>
      </c>
      <c r="I121" t="s">
        <v>355</v>
      </c>
      <c r="J121" t="s">
        <v>3</v>
      </c>
      <c r="K121" t="s">
        <v>356</v>
      </c>
      <c r="L121">
        <v>1191</v>
      </c>
      <c r="N121">
        <v>1013</v>
      </c>
      <c r="O121" t="s">
        <v>357</v>
      </c>
      <c r="P121" t="s">
        <v>357</v>
      </c>
      <c r="Q121">
        <v>1</v>
      </c>
      <c r="X121">
        <v>26.7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1</v>
      </c>
      <c r="AF121" t="s">
        <v>3</v>
      </c>
      <c r="AG121">
        <v>26.7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ROW(Source!A226)</f>
        <v>226</v>
      </c>
      <c r="B122">
        <v>1474089866</v>
      </c>
      <c r="C122">
        <v>1471520174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355</v>
      </c>
      <c r="J122" t="s">
        <v>3</v>
      </c>
      <c r="K122" t="s">
        <v>356</v>
      </c>
      <c r="L122">
        <v>1191</v>
      </c>
      <c r="N122">
        <v>1013</v>
      </c>
      <c r="O122" t="s">
        <v>357</v>
      </c>
      <c r="P122" t="s">
        <v>357</v>
      </c>
      <c r="Q122">
        <v>1</v>
      </c>
      <c r="X122">
        <v>28.02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</v>
      </c>
      <c r="AG122">
        <v>28.02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ROW(Source!A226)</f>
        <v>226</v>
      </c>
      <c r="B123">
        <v>1474089867</v>
      </c>
      <c r="C123">
        <v>1471520174</v>
      </c>
      <c r="D123">
        <v>1441834443</v>
      </c>
      <c r="E123">
        <v>1</v>
      </c>
      <c r="F123">
        <v>1</v>
      </c>
      <c r="G123">
        <v>15514512</v>
      </c>
      <c r="H123">
        <v>3</v>
      </c>
      <c r="I123" t="s">
        <v>362</v>
      </c>
      <c r="J123" t="s">
        <v>363</v>
      </c>
      <c r="K123" t="s">
        <v>364</v>
      </c>
      <c r="L123">
        <v>1296</v>
      </c>
      <c r="N123">
        <v>1002</v>
      </c>
      <c r="O123" t="s">
        <v>365</v>
      </c>
      <c r="P123" t="s">
        <v>365</v>
      </c>
      <c r="Q123">
        <v>1</v>
      </c>
      <c r="X123">
        <v>0.31</v>
      </c>
      <c r="Y123">
        <v>785.72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0.31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ROW(Source!A227)</f>
        <v>227</v>
      </c>
      <c r="B124">
        <v>1474089868</v>
      </c>
      <c r="C124">
        <v>1471520181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355</v>
      </c>
      <c r="J124" t="s">
        <v>3</v>
      </c>
      <c r="K124" t="s">
        <v>356</v>
      </c>
      <c r="L124">
        <v>1191</v>
      </c>
      <c r="N124">
        <v>1013</v>
      </c>
      <c r="O124" t="s">
        <v>357</v>
      </c>
      <c r="P124" t="s">
        <v>357</v>
      </c>
      <c r="Q124">
        <v>1</v>
      </c>
      <c r="X124">
        <v>0.13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57</v>
      </c>
      <c r="AG124">
        <v>0.52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ROW(Source!A228)</f>
        <v>228</v>
      </c>
      <c r="B125">
        <v>1474089869</v>
      </c>
      <c r="C125">
        <v>1471520197</v>
      </c>
      <c r="D125">
        <v>1441819193</v>
      </c>
      <c r="E125">
        <v>15514512</v>
      </c>
      <c r="F125">
        <v>1</v>
      </c>
      <c r="G125">
        <v>15514512</v>
      </c>
      <c r="H125">
        <v>1</v>
      </c>
      <c r="I125" t="s">
        <v>355</v>
      </c>
      <c r="J125" t="s">
        <v>3</v>
      </c>
      <c r="K125" t="s">
        <v>356</v>
      </c>
      <c r="L125">
        <v>1191</v>
      </c>
      <c r="N125">
        <v>1013</v>
      </c>
      <c r="O125" t="s">
        <v>357</v>
      </c>
      <c r="P125" t="s">
        <v>357</v>
      </c>
      <c r="Q125">
        <v>1</v>
      </c>
      <c r="X125">
        <v>29.54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3</v>
      </c>
      <c r="AG125">
        <v>29.54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ROW(Source!A228)</f>
        <v>228</v>
      </c>
      <c r="B126">
        <v>1474089870</v>
      </c>
      <c r="C126">
        <v>1471520197</v>
      </c>
      <c r="D126">
        <v>1441835469</v>
      </c>
      <c r="E126">
        <v>1</v>
      </c>
      <c r="F126">
        <v>1</v>
      </c>
      <c r="G126">
        <v>15514512</v>
      </c>
      <c r="H126">
        <v>3</v>
      </c>
      <c r="I126" t="s">
        <v>374</v>
      </c>
      <c r="J126" t="s">
        <v>375</v>
      </c>
      <c r="K126" t="s">
        <v>376</v>
      </c>
      <c r="L126">
        <v>1348</v>
      </c>
      <c r="N126">
        <v>1009</v>
      </c>
      <c r="O126" t="s">
        <v>377</v>
      </c>
      <c r="P126" t="s">
        <v>377</v>
      </c>
      <c r="Q126">
        <v>1000</v>
      </c>
      <c r="X126">
        <v>5.0000000000000001E-3</v>
      </c>
      <c r="Y126">
        <v>163237.26999999999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5.0000000000000001E-3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ROW(Source!A228)</f>
        <v>228</v>
      </c>
      <c r="B127">
        <v>1474089871</v>
      </c>
      <c r="C127">
        <v>1471520197</v>
      </c>
      <c r="D127">
        <v>1441836514</v>
      </c>
      <c r="E127">
        <v>1</v>
      </c>
      <c r="F127">
        <v>1</v>
      </c>
      <c r="G127">
        <v>15514512</v>
      </c>
      <c r="H127">
        <v>3</v>
      </c>
      <c r="I127" t="s">
        <v>378</v>
      </c>
      <c r="J127" t="s">
        <v>379</v>
      </c>
      <c r="K127" t="s">
        <v>380</v>
      </c>
      <c r="L127">
        <v>1339</v>
      </c>
      <c r="N127">
        <v>1007</v>
      </c>
      <c r="O127" t="s">
        <v>381</v>
      </c>
      <c r="P127" t="s">
        <v>381</v>
      </c>
      <c r="Q127">
        <v>1</v>
      </c>
      <c r="X127">
        <v>7.8</v>
      </c>
      <c r="Y127">
        <v>54.81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7.8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ROW(Source!A228)</f>
        <v>228</v>
      </c>
      <c r="B128">
        <v>1474089872</v>
      </c>
      <c r="C128">
        <v>1471520197</v>
      </c>
      <c r="D128">
        <v>1441847238</v>
      </c>
      <c r="E128">
        <v>1</v>
      </c>
      <c r="F128">
        <v>1</v>
      </c>
      <c r="G128">
        <v>15514512</v>
      </c>
      <c r="H128">
        <v>3</v>
      </c>
      <c r="I128" t="s">
        <v>382</v>
      </c>
      <c r="J128" t="s">
        <v>383</v>
      </c>
      <c r="K128" t="s">
        <v>384</v>
      </c>
      <c r="L128">
        <v>1346</v>
      </c>
      <c r="N128">
        <v>1009</v>
      </c>
      <c r="O128" t="s">
        <v>368</v>
      </c>
      <c r="P128" t="s">
        <v>368</v>
      </c>
      <c r="Q128">
        <v>1</v>
      </c>
      <c r="X128">
        <v>2</v>
      </c>
      <c r="Y128">
        <v>742.26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ROW(Source!A229)</f>
        <v>229</v>
      </c>
      <c r="B129">
        <v>1474089873</v>
      </c>
      <c r="C129">
        <v>1471520255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355</v>
      </c>
      <c r="J129" t="s">
        <v>3</v>
      </c>
      <c r="K129" t="s">
        <v>356</v>
      </c>
      <c r="L129">
        <v>1191</v>
      </c>
      <c r="N129">
        <v>1013</v>
      </c>
      <c r="O129" t="s">
        <v>357</v>
      </c>
      <c r="P129" t="s">
        <v>357</v>
      </c>
      <c r="Q129">
        <v>1</v>
      </c>
      <c r="X129">
        <v>2.04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3</v>
      </c>
      <c r="AG129">
        <v>2.04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ROW(Source!A230)</f>
        <v>230</v>
      </c>
      <c r="B130">
        <v>1474089874</v>
      </c>
      <c r="C130">
        <v>1471520259</v>
      </c>
      <c r="D130">
        <v>1441819193</v>
      </c>
      <c r="E130">
        <v>15514512</v>
      </c>
      <c r="F130">
        <v>1</v>
      </c>
      <c r="G130">
        <v>15514512</v>
      </c>
      <c r="H130">
        <v>1</v>
      </c>
      <c r="I130" t="s">
        <v>355</v>
      </c>
      <c r="J130" t="s">
        <v>3</v>
      </c>
      <c r="K130" t="s">
        <v>356</v>
      </c>
      <c r="L130">
        <v>1191</v>
      </c>
      <c r="N130">
        <v>1013</v>
      </c>
      <c r="O130" t="s">
        <v>357</v>
      </c>
      <c r="P130" t="s">
        <v>357</v>
      </c>
      <c r="Q130">
        <v>1</v>
      </c>
      <c r="X130">
        <v>0.9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1</v>
      </c>
      <c r="AF130" t="s">
        <v>69</v>
      </c>
      <c r="AG130">
        <v>7.2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ROW(Source!A231)</f>
        <v>231</v>
      </c>
      <c r="B131">
        <v>1474089875</v>
      </c>
      <c r="C131">
        <v>1471520263</v>
      </c>
      <c r="D131">
        <v>1441819193</v>
      </c>
      <c r="E131">
        <v>15514512</v>
      </c>
      <c r="F131">
        <v>1</v>
      </c>
      <c r="G131">
        <v>15514512</v>
      </c>
      <c r="H131">
        <v>1</v>
      </c>
      <c r="I131" t="s">
        <v>355</v>
      </c>
      <c r="J131" t="s">
        <v>3</v>
      </c>
      <c r="K131" t="s">
        <v>356</v>
      </c>
      <c r="L131">
        <v>1191</v>
      </c>
      <c r="N131">
        <v>1013</v>
      </c>
      <c r="O131" t="s">
        <v>357</v>
      </c>
      <c r="P131" t="s">
        <v>357</v>
      </c>
      <c r="Q131">
        <v>1</v>
      </c>
      <c r="X131">
        <v>4.84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69</v>
      </c>
      <c r="AG131">
        <v>38.72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ROW(Source!A232)</f>
        <v>232</v>
      </c>
      <c r="B132">
        <v>1474089876</v>
      </c>
      <c r="C132">
        <v>1471520267</v>
      </c>
      <c r="D132">
        <v>1441819193</v>
      </c>
      <c r="E132">
        <v>15514512</v>
      </c>
      <c r="F132">
        <v>1</v>
      </c>
      <c r="G132">
        <v>15514512</v>
      </c>
      <c r="H132">
        <v>1</v>
      </c>
      <c r="I132" t="s">
        <v>355</v>
      </c>
      <c r="J132" t="s">
        <v>3</v>
      </c>
      <c r="K132" t="s">
        <v>356</v>
      </c>
      <c r="L132">
        <v>1191</v>
      </c>
      <c r="N132">
        <v>1013</v>
      </c>
      <c r="O132" t="s">
        <v>357</v>
      </c>
      <c r="P132" t="s">
        <v>357</v>
      </c>
      <c r="Q132">
        <v>1</v>
      </c>
      <c r="X132">
        <v>0.37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253</v>
      </c>
      <c r="AG132">
        <v>0.74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ROW(Source!A232)</f>
        <v>232</v>
      </c>
      <c r="B133">
        <v>1474089877</v>
      </c>
      <c r="C133">
        <v>1471520267</v>
      </c>
      <c r="D133">
        <v>1441834258</v>
      </c>
      <c r="E133">
        <v>1</v>
      </c>
      <c r="F133">
        <v>1</v>
      </c>
      <c r="G133">
        <v>15514512</v>
      </c>
      <c r="H133">
        <v>2</v>
      </c>
      <c r="I133" t="s">
        <v>371</v>
      </c>
      <c r="J133" t="s">
        <v>372</v>
      </c>
      <c r="K133" t="s">
        <v>373</v>
      </c>
      <c r="L133">
        <v>1368</v>
      </c>
      <c r="N133">
        <v>1011</v>
      </c>
      <c r="O133" t="s">
        <v>361</v>
      </c>
      <c r="P133" t="s">
        <v>361</v>
      </c>
      <c r="Q133">
        <v>1</v>
      </c>
      <c r="X133">
        <v>0.06</v>
      </c>
      <c r="Y133">
        <v>0</v>
      </c>
      <c r="Z133">
        <v>1303.01</v>
      </c>
      <c r="AA133">
        <v>826.2</v>
      </c>
      <c r="AB133">
        <v>0</v>
      </c>
      <c r="AC133">
        <v>0</v>
      </c>
      <c r="AD133">
        <v>1</v>
      </c>
      <c r="AE133">
        <v>0</v>
      </c>
      <c r="AF133" t="s">
        <v>253</v>
      </c>
      <c r="AG133">
        <v>0.12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ROW(Source!A233)</f>
        <v>233</v>
      </c>
      <c r="B134">
        <v>1474089878</v>
      </c>
      <c r="C134">
        <v>1471520274</v>
      </c>
      <c r="D134">
        <v>1441819193</v>
      </c>
      <c r="E134">
        <v>15514512</v>
      </c>
      <c r="F134">
        <v>1</v>
      </c>
      <c r="G134">
        <v>15514512</v>
      </c>
      <c r="H134">
        <v>1</v>
      </c>
      <c r="I134" t="s">
        <v>355</v>
      </c>
      <c r="J134" t="s">
        <v>3</v>
      </c>
      <c r="K134" t="s">
        <v>356</v>
      </c>
      <c r="L134">
        <v>1191</v>
      </c>
      <c r="N134">
        <v>1013</v>
      </c>
      <c r="O134" t="s">
        <v>357</v>
      </c>
      <c r="P134" t="s">
        <v>357</v>
      </c>
      <c r="Q134">
        <v>1</v>
      </c>
      <c r="X134">
        <v>0.61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253</v>
      </c>
      <c r="AG134">
        <v>1.22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ROW(Source!A234)</f>
        <v>234</v>
      </c>
      <c r="B135">
        <v>1474089879</v>
      </c>
      <c r="C135">
        <v>1471520278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355</v>
      </c>
      <c r="J135" t="s">
        <v>3</v>
      </c>
      <c r="K135" t="s">
        <v>356</v>
      </c>
      <c r="L135">
        <v>1191</v>
      </c>
      <c r="N135">
        <v>1013</v>
      </c>
      <c r="O135" t="s">
        <v>357</v>
      </c>
      <c r="P135" t="s">
        <v>357</v>
      </c>
      <c r="Q135">
        <v>1</v>
      </c>
      <c r="X135">
        <v>13.9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1</v>
      </c>
      <c r="AF135" t="s">
        <v>82</v>
      </c>
      <c r="AG135">
        <v>3405.5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ROW(Source!A234)</f>
        <v>234</v>
      </c>
      <c r="B136">
        <v>1474089880</v>
      </c>
      <c r="C136">
        <v>1471520278</v>
      </c>
      <c r="D136">
        <v>1441836372</v>
      </c>
      <c r="E136">
        <v>1</v>
      </c>
      <c r="F136">
        <v>1</v>
      </c>
      <c r="G136">
        <v>15514512</v>
      </c>
      <c r="H136">
        <v>3</v>
      </c>
      <c r="I136" t="s">
        <v>385</v>
      </c>
      <c r="J136" t="s">
        <v>386</v>
      </c>
      <c r="K136" t="s">
        <v>387</v>
      </c>
      <c r="L136">
        <v>1296</v>
      </c>
      <c r="N136">
        <v>1002</v>
      </c>
      <c r="O136" t="s">
        <v>365</v>
      </c>
      <c r="P136" t="s">
        <v>365</v>
      </c>
      <c r="Q136">
        <v>1</v>
      </c>
      <c r="X136">
        <v>0.5</v>
      </c>
      <c r="Y136">
        <v>111.42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82</v>
      </c>
      <c r="AG136">
        <v>122.5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ROW(Source!A234)</f>
        <v>234</v>
      </c>
      <c r="B137">
        <v>1474089881</v>
      </c>
      <c r="C137">
        <v>1471520278</v>
      </c>
      <c r="D137">
        <v>1441836514</v>
      </c>
      <c r="E137">
        <v>1</v>
      </c>
      <c r="F137">
        <v>1</v>
      </c>
      <c r="G137">
        <v>15514512</v>
      </c>
      <c r="H137">
        <v>3</v>
      </c>
      <c r="I137" t="s">
        <v>378</v>
      </c>
      <c r="J137" t="s">
        <v>379</v>
      </c>
      <c r="K137" t="s">
        <v>380</v>
      </c>
      <c r="L137">
        <v>1339</v>
      </c>
      <c r="N137">
        <v>1007</v>
      </c>
      <c r="O137" t="s">
        <v>381</v>
      </c>
      <c r="P137" t="s">
        <v>381</v>
      </c>
      <c r="Q137">
        <v>1</v>
      </c>
      <c r="X137">
        <v>0.01</v>
      </c>
      <c r="Y137">
        <v>54.81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82</v>
      </c>
      <c r="AG137">
        <v>2.4500000000000002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ROW(Source!A235)</f>
        <v>235</v>
      </c>
      <c r="B138">
        <v>1474089882</v>
      </c>
      <c r="C138">
        <v>1471520288</v>
      </c>
      <c r="D138">
        <v>1441819193</v>
      </c>
      <c r="E138">
        <v>15514512</v>
      </c>
      <c r="F138">
        <v>1</v>
      </c>
      <c r="G138">
        <v>15514512</v>
      </c>
      <c r="H138">
        <v>1</v>
      </c>
      <c r="I138" t="s">
        <v>355</v>
      </c>
      <c r="J138" t="s">
        <v>3</v>
      </c>
      <c r="K138" t="s">
        <v>356</v>
      </c>
      <c r="L138">
        <v>1191</v>
      </c>
      <c r="N138">
        <v>1013</v>
      </c>
      <c r="O138" t="s">
        <v>357</v>
      </c>
      <c r="P138" t="s">
        <v>357</v>
      </c>
      <c r="Q138">
        <v>1</v>
      </c>
      <c r="X138">
        <v>8.15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82</v>
      </c>
      <c r="AG138">
        <v>1996.75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ROW(Source!A235)</f>
        <v>235</v>
      </c>
      <c r="B139">
        <v>1474089883</v>
      </c>
      <c r="C139">
        <v>1471520288</v>
      </c>
      <c r="D139">
        <v>1441836372</v>
      </c>
      <c r="E139">
        <v>1</v>
      </c>
      <c r="F139">
        <v>1</v>
      </c>
      <c r="G139">
        <v>15514512</v>
      </c>
      <c r="H139">
        <v>3</v>
      </c>
      <c r="I139" t="s">
        <v>385</v>
      </c>
      <c r="J139" t="s">
        <v>386</v>
      </c>
      <c r="K139" t="s">
        <v>387</v>
      </c>
      <c r="L139">
        <v>1296</v>
      </c>
      <c r="N139">
        <v>1002</v>
      </c>
      <c r="O139" t="s">
        <v>365</v>
      </c>
      <c r="P139" t="s">
        <v>365</v>
      </c>
      <c r="Q139">
        <v>1</v>
      </c>
      <c r="X139">
        <v>0.5</v>
      </c>
      <c r="Y139">
        <v>111.42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82</v>
      </c>
      <c r="AG139">
        <v>122.5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ROW(Source!A235)</f>
        <v>235</v>
      </c>
      <c r="B140">
        <v>1474089884</v>
      </c>
      <c r="C140">
        <v>1471520288</v>
      </c>
      <c r="D140">
        <v>1441836514</v>
      </c>
      <c r="E140">
        <v>1</v>
      </c>
      <c r="F140">
        <v>1</v>
      </c>
      <c r="G140">
        <v>15514512</v>
      </c>
      <c r="H140">
        <v>3</v>
      </c>
      <c r="I140" t="s">
        <v>378</v>
      </c>
      <c r="J140" t="s">
        <v>379</v>
      </c>
      <c r="K140" t="s">
        <v>380</v>
      </c>
      <c r="L140">
        <v>1339</v>
      </c>
      <c r="N140">
        <v>1007</v>
      </c>
      <c r="O140" t="s">
        <v>381</v>
      </c>
      <c r="P140" t="s">
        <v>381</v>
      </c>
      <c r="Q140">
        <v>1</v>
      </c>
      <c r="X140">
        <v>0.01</v>
      </c>
      <c r="Y140">
        <v>54.81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82</v>
      </c>
      <c r="AG140">
        <v>2.4500000000000002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ROW(Source!A236)</f>
        <v>236</v>
      </c>
      <c r="B141">
        <v>1474089885</v>
      </c>
      <c r="C141">
        <v>1471520298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355</v>
      </c>
      <c r="J141" t="s">
        <v>3</v>
      </c>
      <c r="K141" t="s">
        <v>356</v>
      </c>
      <c r="L141">
        <v>1191</v>
      </c>
      <c r="N141">
        <v>1013</v>
      </c>
      <c r="O141" t="s">
        <v>357</v>
      </c>
      <c r="P141" t="s">
        <v>357</v>
      </c>
      <c r="Q141">
        <v>1</v>
      </c>
      <c r="X141">
        <v>8.15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82</v>
      </c>
      <c r="AG141">
        <v>1996.75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ROW(Source!A236)</f>
        <v>236</v>
      </c>
      <c r="B142">
        <v>1474089886</v>
      </c>
      <c r="C142">
        <v>1471520298</v>
      </c>
      <c r="D142">
        <v>1441836372</v>
      </c>
      <c r="E142">
        <v>1</v>
      </c>
      <c r="F142">
        <v>1</v>
      </c>
      <c r="G142">
        <v>15514512</v>
      </c>
      <c r="H142">
        <v>3</v>
      </c>
      <c r="I142" t="s">
        <v>385</v>
      </c>
      <c r="J142" t="s">
        <v>386</v>
      </c>
      <c r="K142" t="s">
        <v>387</v>
      </c>
      <c r="L142">
        <v>1296</v>
      </c>
      <c r="N142">
        <v>1002</v>
      </c>
      <c r="O142" t="s">
        <v>365</v>
      </c>
      <c r="P142" t="s">
        <v>365</v>
      </c>
      <c r="Q142">
        <v>1</v>
      </c>
      <c r="X142">
        <v>0.5</v>
      </c>
      <c r="Y142">
        <v>111.42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82</v>
      </c>
      <c r="AG142">
        <v>122.5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ROW(Source!A236)</f>
        <v>236</v>
      </c>
      <c r="B143">
        <v>1474089887</v>
      </c>
      <c r="C143">
        <v>1471520298</v>
      </c>
      <c r="D143">
        <v>1441836514</v>
      </c>
      <c r="E143">
        <v>1</v>
      </c>
      <c r="F143">
        <v>1</v>
      </c>
      <c r="G143">
        <v>15514512</v>
      </c>
      <c r="H143">
        <v>3</v>
      </c>
      <c r="I143" t="s">
        <v>378</v>
      </c>
      <c r="J143" t="s">
        <v>379</v>
      </c>
      <c r="K143" t="s">
        <v>380</v>
      </c>
      <c r="L143">
        <v>1339</v>
      </c>
      <c r="N143">
        <v>1007</v>
      </c>
      <c r="O143" t="s">
        <v>381</v>
      </c>
      <c r="P143" t="s">
        <v>381</v>
      </c>
      <c r="Q143">
        <v>1</v>
      </c>
      <c r="X143">
        <v>0.01</v>
      </c>
      <c r="Y143">
        <v>54.81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82</v>
      </c>
      <c r="AG143">
        <v>2.4500000000000002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ROW(Source!A272)</f>
        <v>272</v>
      </c>
      <c r="B144">
        <v>1474089888</v>
      </c>
      <c r="C144">
        <v>1471520308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355</v>
      </c>
      <c r="J144" t="s">
        <v>3</v>
      </c>
      <c r="K144" t="s">
        <v>356</v>
      </c>
      <c r="L144">
        <v>1191</v>
      </c>
      <c r="N144">
        <v>1013</v>
      </c>
      <c r="O144" t="s">
        <v>357</v>
      </c>
      <c r="P144" t="s">
        <v>357</v>
      </c>
      <c r="Q144">
        <v>1</v>
      </c>
      <c r="X144">
        <v>1.75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3</v>
      </c>
      <c r="AG144">
        <v>1.75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ROW(Source!A272)</f>
        <v>272</v>
      </c>
      <c r="B145">
        <v>1474089889</v>
      </c>
      <c r="C145">
        <v>1471520308</v>
      </c>
      <c r="D145">
        <v>1441834258</v>
      </c>
      <c r="E145">
        <v>1</v>
      </c>
      <c r="F145">
        <v>1</v>
      </c>
      <c r="G145">
        <v>15514512</v>
      </c>
      <c r="H145">
        <v>2</v>
      </c>
      <c r="I145" t="s">
        <v>371</v>
      </c>
      <c r="J145" t="s">
        <v>372</v>
      </c>
      <c r="K145" t="s">
        <v>373</v>
      </c>
      <c r="L145">
        <v>1368</v>
      </c>
      <c r="N145">
        <v>1011</v>
      </c>
      <c r="O145" t="s">
        <v>361</v>
      </c>
      <c r="P145" t="s">
        <v>361</v>
      </c>
      <c r="Q145">
        <v>1</v>
      </c>
      <c r="X145">
        <v>1.083</v>
      </c>
      <c r="Y145">
        <v>0</v>
      </c>
      <c r="Z145">
        <v>1303.01</v>
      </c>
      <c r="AA145">
        <v>826.2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1.083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ROW(Source!A272)</f>
        <v>272</v>
      </c>
      <c r="B146">
        <v>1474089890</v>
      </c>
      <c r="C146">
        <v>1471520308</v>
      </c>
      <c r="D146">
        <v>1441836235</v>
      </c>
      <c r="E146">
        <v>1</v>
      </c>
      <c r="F146">
        <v>1</v>
      </c>
      <c r="G146">
        <v>15514512</v>
      </c>
      <c r="H146">
        <v>3</v>
      </c>
      <c r="I146" t="s">
        <v>388</v>
      </c>
      <c r="J146" t="s">
        <v>389</v>
      </c>
      <c r="K146" t="s">
        <v>390</v>
      </c>
      <c r="L146">
        <v>1346</v>
      </c>
      <c r="N146">
        <v>1009</v>
      </c>
      <c r="O146" t="s">
        <v>368</v>
      </c>
      <c r="P146" t="s">
        <v>368</v>
      </c>
      <c r="Q146">
        <v>1</v>
      </c>
      <c r="X146">
        <v>0.02</v>
      </c>
      <c r="Y146">
        <v>31.49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0.02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ROW(Source!A273)</f>
        <v>273</v>
      </c>
      <c r="B147">
        <v>1474089891</v>
      </c>
      <c r="C147">
        <v>1471520318</v>
      </c>
      <c r="D147">
        <v>1441819193</v>
      </c>
      <c r="E147">
        <v>15514512</v>
      </c>
      <c r="F147">
        <v>1</v>
      </c>
      <c r="G147">
        <v>15514512</v>
      </c>
      <c r="H147">
        <v>1</v>
      </c>
      <c r="I147" t="s">
        <v>355</v>
      </c>
      <c r="J147" t="s">
        <v>3</v>
      </c>
      <c r="K147" t="s">
        <v>356</v>
      </c>
      <c r="L147">
        <v>1191</v>
      </c>
      <c r="N147">
        <v>1013</v>
      </c>
      <c r="O147" t="s">
        <v>357</v>
      </c>
      <c r="P147" t="s">
        <v>357</v>
      </c>
      <c r="Q147">
        <v>1</v>
      </c>
      <c r="X147">
        <v>5.7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3</v>
      </c>
      <c r="AG147">
        <v>5.7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ROW(Source!A273)</f>
        <v>273</v>
      </c>
      <c r="B148">
        <v>1474089892</v>
      </c>
      <c r="C148">
        <v>1471520318</v>
      </c>
      <c r="D148">
        <v>1441833662</v>
      </c>
      <c r="E148">
        <v>1</v>
      </c>
      <c r="F148">
        <v>1</v>
      </c>
      <c r="G148">
        <v>15514512</v>
      </c>
      <c r="H148">
        <v>2</v>
      </c>
      <c r="I148" t="s">
        <v>391</v>
      </c>
      <c r="J148" t="s">
        <v>392</v>
      </c>
      <c r="K148" t="s">
        <v>393</v>
      </c>
      <c r="L148">
        <v>1368</v>
      </c>
      <c r="N148">
        <v>1011</v>
      </c>
      <c r="O148" t="s">
        <v>361</v>
      </c>
      <c r="P148" t="s">
        <v>361</v>
      </c>
      <c r="Q148">
        <v>1</v>
      </c>
      <c r="X148">
        <v>0.6</v>
      </c>
      <c r="Y148">
        <v>0</v>
      </c>
      <c r="Z148">
        <v>44.21</v>
      </c>
      <c r="AA148">
        <v>1.89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0.6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ROW(Source!A273)</f>
        <v>273</v>
      </c>
      <c r="B149">
        <v>1474089893</v>
      </c>
      <c r="C149">
        <v>1471520318</v>
      </c>
      <c r="D149">
        <v>1441836235</v>
      </c>
      <c r="E149">
        <v>1</v>
      </c>
      <c r="F149">
        <v>1</v>
      </c>
      <c r="G149">
        <v>15514512</v>
      </c>
      <c r="H149">
        <v>3</v>
      </c>
      <c r="I149" t="s">
        <v>388</v>
      </c>
      <c r="J149" t="s">
        <v>389</v>
      </c>
      <c r="K149" t="s">
        <v>390</v>
      </c>
      <c r="L149">
        <v>1346</v>
      </c>
      <c r="N149">
        <v>1009</v>
      </c>
      <c r="O149" t="s">
        <v>368</v>
      </c>
      <c r="P149" t="s">
        <v>368</v>
      </c>
      <c r="Q149">
        <v>1</v>
      </c>
      <c r="X149">
        <v>2</v>
      </c>
      <c r="Y149">
        <v>31.49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2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ROW(Source!A273)</f>
        <v>273</v>
      </c>
      <c r="B150">
        <v>1474089894</v>
      </c>
      <c r="C150">
        <v>1471520318</v>
      </c>
      <c r="D150">
        <v>1441836912</v>
      </c>
      <c r="E150">
        <v>1</v>
      </c>
      <c r="F150">
        <v>1</v>
      </c>
      <c r="G150">
        <v>15514512</v>
      </c>
      <c r="H150">
        <v>3</v>
      </c>
      <c r="I150" t="s">
        <v>394</v>
      </c>
      <c r="J150" t="s">
        <v>395</v>
      </c>
      <c r="K150" t="s">
        <v>396</v>
      </c>
      <c r="L150">
        <v>1354</v>
      </c>
      <c r="N150">
        <v>16987630</v>
      </c>
      <c r="O150" t="s">
        <v>39</v>
      </c>
      <c r="P150" t="s">
        <v>39</v>
      </c>
      <c r="Q150">
        <v>1</v>
      </c>
      <c r="X150">
        <v>1</v>
      </c>
      <c r="Y150">
        <v>27.52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1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ROW(Source!A273)</f>
        <v>273</v>
      </c>
      <c r="B151">
        <v>1474089895</v>
      </c>
      <c r="C151">
        <v>1471520318</v>
      </c>
      <c r="D151">
        <v>1441834654</v>
      </c>
      <c r="E151">
        <v>1</v>
      </c>
      <c r="F151">
        <v>1</v>
      </c>
      <c r="G151">
        <v>15514512</v>
      </c>
      <c r="H151">
        <v>3</v>
      </c>
      <c r="I151" t="s">
        <v>397</v>
      </c>
      <c r="J151" t="s">
        <v>398</v>
      </c>
      <c r="K151" t="s">
        <v>399</v>
      </c>
      <c r="L151">
        <v>1296</v>
      </c>
      <c r="N151">
        <v>1002</v>
      </c>
      <c r="O151" t="s">
        <v>365</v>
      </c>
      <c r="P151" t="s">
        <v>365</v>
      </c>
      <c r="Q151">
        <v>1</v>
      </c>
      <c r="X151">
        <v>2</v>
      </c>
      <c r="Y151">
        <v>2895.42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2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ROW(Source!A274)</f>
        <v>274</v>
      </c>
      <c r="B152">
        <v>1474089896</v>
      </c>
      <c r="C152">
        <v>1471520334</v>
      </c>
      <c r="D152">
        <v>1441819193</v>
      </c>
      <c r="E152">
        <v>15514512</v>
      </c>
      <c r="F152">
        <v>1</v>
      </c>
      <c r="G152">
        <v>15514512</v>
      </c>
      <c r="H152">
        <v>1</v>
      </c>
      <c r="I152" t="s">
        <v>355</v>
      </c>
      <c r="J152" t="s">
        <v>3</v>
      </c>
      <c r="K152" t="s">
        <v>356</v>
      </c>
      <c r="L152">
        <v>1191</v>
      </c>
      <c r="N152">
        <v>1013</v>
      </c>
      <c r="O152" t="s">
        <v>357</v>
      </c>
      <c r="P152" t="s">
        <v>357</v>
      </c>
      <c r="Q152">
        <v>1</v>
      </c>
      <c r="X152">
        <v>16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156</v>
      </c>
      <c r="AG152">
        <v>48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ROW(Source!A274)</f>
        <v>274</v>
      </c>
      <c r="B153">
        <v>1474089897</v>
      </c>
      <c r="C153">
        <v>1471520334</v>
      </c>
      <c r="D153">
        <v>1441836235</v>
      </c>
      <c r="E153">
        <v>1</v>
      </c>
      <c r="F153">
        <v>1</v>
      </c>
      <c r="G153">
        <v>15514512</v>
      </c>
      <c r="H153">
        <v>3</v>
      </c>
      <c r="I153" t="s">
        <v>388</v>
      </c>
      <c r="J153" t="s">
        <v>389</v>
      </c>
      <c r="K153" t="s">
        <v>390</v>
      </c>
      <c r="L153">
        <v>1346</v>
      </c>
      <c r="N153">
        <v>1009</v>
      </c>
      <c r="O153" t="s">
        <v>368</v>
      </c>
      <c r="P153" t="s">
        <v>368</v>
      </c>
      <c r="Q153">
        <v>1</v>
      </c>
      <c r="X153">
        <v>0.3</v>
      </c>
      <c r="Y153">
        <v>31.49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156</v>
      </c>
      <c r="AG153">
        <v>0.89999999999999991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ROW(Source!A274)</f>
        <v>274</v>
      </c>
      <c r="B154">
        <v>1474089898</v>
      </c>
      <c r="C154">
        <v>1471520334</v>
      </c>
      <c r="D154">
        <v>1441834654</v>
      </c>
      <c r="E154">
        <v>1</v>
      </c>
      <c r="F154">
        <v>1</v>
      </c>
      <c r="G154">
        <v>15514512</v>
      </c>
      <c r="H154">
        <v>3</v>
      </c>
      <c r="I154" t="s">
        <v>397</v>
      </c>
      <c r="J154" t="s">
        <v>398</v>
      </c>
      <c r="K154" t="s">
        <v>399</v>
      </c>
      <c r="L154">
        <v>1296</v>
      </c>
      <c r="N154">
        <v>1002</v>
      </c>
      <c r="O154" t="s">
        <v>365</v>
      </c>
      <c r="P154" t="s">
        <v>365</v>
      </c>
      <c r="Q154">
        <v>1</v>
      </c>
      <c r="X154">
        <v>2</v>
      </c>
      <c r="Y154">
        <v>2895.42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156</v>
      </c>
      <c r="AG154">
        <v>6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ROW(Source!A274)</f>
        <v>274</v>
      </c>
      <c r="B155">
        <v>1474089899</v>
      </c>
      <c r="C155">
        <v>1471520334</v>
      </c>
      <c r="D155">
        <v>1441834667</v>
      </c>
      <c r="E155">
        <v>1</v>
      </c>
      <c r="F155">
        <v>1</v>
      </c>
      <c r="G155">
        <v>15514512</v>
      </c>
      <c r="H155">
        <v>3</v>
      </c>
      <c r="I155" t="s">
        <v>403</v>
      </c>
      <c r="J155" t="s">
        <v>404</v>
      </c>
      <c r="K155" t="s">
        <v>405</v>
      </c>
      <c r="L155">
        <v>1346</v>
      </c>
      <c r="N155">
        <v>1009</v>
      </c>
      <c r="O155" t="s">
        <v>368</v>
      </c>
      <c r="P155" t="s">
        <v>368</v>
      </c>
      <c r="Q155">
        <v>1</v>
      </c>
      <c r="X155">
        <v>0.2</v>
      </c>
      <c r="Y155">
        <v>197.72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156</v>
      </c>
      <c r="AG155">
        <v>0.60000000000000009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ROW(Source!A274)</f>
        <v>274</v>
      </c>
      <c r="B156">
        <v>1474089900</v>
      </c>
      <c r="C156">
        <v>1471520334</v>
      </c>
      <c r="D156">
        <v>1441834896</v>
      </c>
      <c r="E156">
        <v>1</v>
      </c>
      <c r="F156">
        <v>1</v>
      </c>
      <c r="G156">
        <v>15514512</v>
      </c>
      <c r="H156">
        <v>3</v>
      </c>
      <c r="I156" t="s">
        <v>406</v>
      </c>
      <c r="J156" t="s">
        <v>407</v>
      </c>
      <c r="K156" t="s">
        <v>408</v>
      </c>
      <c r="L156">
        <v>1348</v>
      </c>
      <c r="N156">
        <v>1009</v>
      </c>
      <c r="O156" t="s">
        <v>377</v>
      </c>
      <c r="P156" t="s">
        <v>377</v>
      </c>
      <c r="Q156">
        <v>1000</v>
      </c>
      <c r="X156">
        <v>1.1E-4</v>
      </c>
      <c r="Y156">
        <v>70975.399999999994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156</v>
      </c>
      <c r="AG156">
        <v>3.3E-4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ROW(Source!A275)</f>
        <v>275</v>
      </c>
      <c r="B157">
        <v>1474089901</v>
      </c>
      <c r="C157">
        <v>1471520350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355</v>
      </c>
      <c r="J157" t="s">
        <v>3</v>
      </c>
      <c r="K157" t="s">
        <v>356</v>
      </c>
      <c r="L157">
        <v>1191</v>
      </c>
      <c r="N157">
        <v>1013</v>
      </c>
      <c r="O157" t="s">
        <v>357</v>
      </c>
      <c r="P157" t="s">
        <v>357</v>
      </c>
      <c r="Q157">
        <v>1</v>
      </c>
      <c r="X157">
        <v>9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152</v>
      </c>
      <c r="AG157">
        <v>45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ROW(Source!A275)</f>
        <v>275</v>
      </c>
      <c r="B158">
        <v>1474089902</v>
      </c>
      <c r="C158">
        <v>1471520350</v>
      </c>
      <c r="D158">
        <v>1441836235</v>
      </c>
      <c r="E158">
        <v>1</v>
      </c>
      <c r="F158">
        <v>1</v>
      </c>
      <c r="G158">
        <v>15514512</v>
      </c>
      <c r="H158">
        <v>3</v>
      </c>
      <c r="I158" t="s">
        <v>388</v>
      </c>
      <c r="J158" t="s">
        <v>389</v>
      </c>
      <c r="K158" t="s">
        <v>390</v>
      </c>
      <c r="L158">
        <v>1346</v>
      </c>
      <c r="N158">
        <v>1009</v>
      </c>
      <c r="O158" t="s">
        <v>368</v>
      </c>
      <c r="P158" t="s">
        <v>368</v>
      </c>
      <c r="Q158">
        <v>1</v>
      </c>
      <c r="X158">
        <v>0.3</v>
      </c>
      <c r="Y158">
        <v>31.49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152</v>
      </c>
      <c r="AG158">
        <v>1.5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ROW(Source!A276)</f>
        <v>276</v>
      </c>
      <c r="B159">
        <v>1474089903</v>
      </c>
      <c r="C159">
        <v>1471520357</v>
      </c>
      <c r="D159">
        <v>1441819193</v>
      </c>
      <c r="E159">
        <v>15514512</v>
      </c>
      <c r="F159">
        <v>1</v>
      </c>
      <c r="G159">
        <v>15514512</v>
      </c>
      <c r="H159">
        <v>1</v>
      </c>
      <c r="I159" t="s">
        <v>355</v>
      </c>
      <c r="J159" t="s">
        <v>3</v>
      </c>
      <c r="K159" t="s">
        <v>356</v>
      </c>
      <c r="L159">
        <v>1191</v>
      </c>
      <c r="N159">
        <v>1013</v>
      </c>
      <c r="O159" t="s">
        <v>357</v>
      </c>
      <c r="P159" t="s">
        <v>357</v>
      </c>
      <c r="Q159">
        <v>1</v>
      </c>
      <c r="X159">
        <v>0.57999999999999996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3</v>
      </c>
      <c r="AG159">
        <v>0.57999999999999996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ROW(Source!A276)</f>
        <v>276</v>
      </c>
      <c r="B160">
        <v>1474089904</v>
      </c>
      <c r="C160">
        <v>1471520357</v>
      </c>
      <c r="D160">
        <v>1441836235</v>
      </c>
      <c r="E160">
        <v>1</v>
      </c>
      <c r="F160">
        <v>1</v>
      </c>
      <c r="G160">
        <v>15514512</v>
      </c>
      <c r="H160">
        <v>3</v>
      </c>
      <c r="I160" t="s">
        <v>388</v>
      </c>
      <c r="J160" t="s">
        <v>389</v>
      </c>
      <c r="K160" t="s">
        <v>390</v>
      </c>
      <c r="L160">
        <v>1346</v>
      </c>
      <c r="N160">
        <v>1009</v>
      </c>
      <c r="O160" t="s">
        <v>368</v>
      </c>
      <c r="P160" t="s">
        <v>368</v>
      </c>
      <c r="Q160">
        <v>1</v>
      </c>
      <c r="X160">
        <v>0.02</v>
      </c>
      <c r="Y160">
        <v>31.49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0.02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ROW(Source!A277)</f>
        <v>277</v>
      </c>
      <c r="B161">
        <v>1474089905</v>
      </c>
      <c r="C161">
        <v>1471520364</v>
      </c>
      <c r="D161">
        <v>1441819193</v>
      </c>
      <c r="E161">
        <v>15514512</v>
      </c>
      <c r="F161">
        <v>1</v>
      </c>
      <c r="G161">
        <v>15514512</v>
      </c>
      <c r="H161">
        <v>1</v>
      </c>
      <c r="I161" t="s">
        <v>355</v>
      </c>
      <c r="J161" t="s">
        <v>3</v>
      </c>
      <c r="K161" t="s">
        <v>356</v>
      </c>
      <c r="L161">
        <v>1191</v>
      </c>
      <c r="N161">
        <v>1013</v>
      </c>
      <c r="O161" t="s">
        <v>357</v>
      </c>
      <c r="P161" t="s">
        <v>357</v>
      </c>
      <c r="Q161">
        <v>1</v>
      </c>
      <c r="X161">
        <v>0.37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3</v>
      </c>
      <c r="AG161">
        <v>0.37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ROW(Source!A277)</f>
        <v>277</v>
      </c>
      <c r="B162">
        <v>1474089906</v>
      </c>
      <c r="C162">
        <v>1471520364</v>
      </c>
      <c r="D162">
        <v>1441834258</v>
      </c>
      <c r="E162">
        <v>1</v>
      </c>
      <c r="F162">
        <v>1</v>
      </c>
      <c r="G162">
        <v>15514512</v>
      </c>
      <c r="H162">
        <v>2</v>
      </c>
      <c r="I162" t="s">
        <v>371</v>
      </c>
      <c r="J162" t="s">
        <v>372</v>
      </c>
      <c r="K162" t="s">
        <v>373</v>
      </c>
      <c r="L162">
        <v>1368</v>
      </c>
      <c r="N162">
        <v>1011</v>
      </c>
      <c r="O162" t="s">
        <v>361</v>
      </c>
      <c r="P162" t="s">
        <v>361</v>
      </c>
      <c r="Q162">
        <v>1</v>
      </c>
      <c r="X162">
        <v>0.06</v>
      </c>
      <c r="Y162">
        <v>0</v>
      </c>
      <c r="Z162">
        <v>1303.01</v>
      </c>
      <c r="AA162">
        <v>826.2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0.06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ROW(Source!A313)</f>
        <v>313</v>
      </c>
      <c r="B163">
        <v>1474089907</v>
      </c>
      <c r="C163">
        <v>1471520371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355</v>
      </c>
      <c r="J163" t="s">
        <v>3</v>
      </c>
      <c r="K163" t="s">
        <v>356</v>
      </c>
      <c r="L163">
        <v>1191</v>
      </c>
      <c r="N163">
        <v>1013</v>
      </c>
      <c r="O163" t="s">
        <v>357</v>
      </c>
      <c r="P163" t="s">
        <v>357</v>
      </c>
      <c r="Q163">
        <v>1</v>
      </c>
      <c r="X163">
        <v>24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3</v>
      </c>
      <c r="AG163">
        <v>24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ROW(Source!A313)</f>
        <v>313</v>
      </c>
      <c r="B164">
        <v>1474089909</v>
      </c>
      <c r="C164">
        <v>1471520371</v>
      </c>
      <c r="D164">
        <v>1441836237</v>
      </c>
      <c r="E164">
        <v>1</v>
      </c>
      <c r="F164">
        <v>1</v>
      </c>
      <c r="G164">
        <v>15514512</v>
      </c>
      <c r="H164">
        <v>3</v>
      </c>
      <c r="I164" t="s">
        <v>409</v>
      </c>
      <c r="J164" t="s">
        <v>410</v>
      </c>
      <c r="K164" t="s">
        <v>411</v>
      </c>
      <c r="L164">
        <v>1346</v>
      </c>
      <c r="N164">
        <v>1009</v>
      </c>
      <c r="O164" t="s">
        <v>368</v>
      </c>
      <c r="P164" t="s">
        <v>368</v>
      </c>
      <c r="Q164">
        <v>1</v>
      </c>
      <c r="X164">
        <v>0.48</v>
      </c>
      <c r="Y164">
        <v>375.16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0.48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ROW(Source!A313)</f>
        <v>313</v>
      </c>
      <c r="B165">
        <v>1474089910</v>
      </c>
      <c r="C165">
        <v>1471520371</v>
      </c>
      <c r="D165">
        <v>1441836235</v>
      </c>
      <c r="E165">
        <v>1</v>
      </c>
      <c r="F165">
        <v>1</v>
      </c>
      <c r="G165">
        <v>15514512</v>
      </c>
      <c r="H165">
        <v>3</v>
      </c>
      <c r="I165" t="s">
        <v>388</v>
      </c>
      <c r="J165" t="s">
        <v>389</v>
      </c>
      <c r="K165" t="s">
        <v>390</v>
      </c>
      <c r="L165">
        <v>1346</v>
      </c>
      <c r="N165">
        <v>1009</v>
      </c>
      <c r="O165" t="s">
        <v>368</v>
      </c>
      <c r="P165" t="s">
        <v>368</v>
      </c>
      <c r="Q165">
        <v>1</v>
      </c>
      <c r="X165">
        <v>0.14000000000000001</v>
      </c>
      <c r="Y165">
        <v>31.49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0.14000000000000001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ROW(Source!A313)</f>
        <v>313</v>
      </c>
      <c r="B166">
        <v>1474089908</v>
      </c>
      <c r="C166">
        <v>1471520371</v>
      </c>
      <c r="D166">
        <v>1441822228</v>
      </c>
      <c r="E166">
        <v>15514512</v>
      </c>
      <c r="F166">
        <v>1</v>
      </c>
      <c r="G166">
        <v>15514512</v>
      </c>
      <c r="H166">
        <v>3</v>
      </c>
      <c r="I166" t="s">
        <v>412</v>
      </c>
      <c r="J166" t="s">
        <v>3</v>
      </c>
      <c r="K166" t="s">
        <v>413</v>
      </c>
      <c r="L166">
        <v>1346</v>
      </c>
      <c r="N166">
        <v>1009</v>
      </c>
      <c r="O166" t="s">
        <v>368</v>
      </c>
      <c r="P166" t="s">
        <v>368</v>
      </c>
      <c r="Q166">
        <v>1</v>
      </c>
      <c r="X166">
        <v>0.14000000000000001</v>
      </c>
      <c r="Y166">
        <v>73.951729999999998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0.14000000000000001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ROW(Source!A313)</f>
        <v>313</v>
      </c>
      <c r="B167">
        <v>1474089911</v>
      </c>
      <c r="C167">
        <v>1471520371</v>
      </c>
      <c r="D167">
        <v>1441834920</v>
      </c>
      <c r="E167">
        <v>1</v>
      </c>
      <c r="F167">
        <v>1</v>
      </c>
      <c r="G167">
        <v>15514512</v>
      </c>
      <c r="H167">
        <v>3</v>
      </c>
      <c r="I167" t="s">
        <v>414</v>
      </c>
      <c r="J167" t="s">
        <v>415</v>
      </c>
      <c r="K167" t="s">
        <v>416</v>
      </c>
      <c r="L167">
        <v>1346</v>
      </c>
      <c r="N167">
        <v>1009</v>
      </c>
      <c r="O167" t="s">
        <v>368</v>
      </c>
      <c r="P167" t="s">
        <v>368</v>
      </c>
      <c r="Q167">
        <v>1</v>
      </c>
      <c r="X167">
        <v>0.1</v>
      </c>
      <c r="Y167">
        <v>106.87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0.1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ROW(Source!A314)</f>
        <v>314</v>
      </c>
      <c r="B168">
        <v>1474089912</v>
      </c>
      <c r="C168">
        <v>1471520387</v>
      </c>
      <c r="D168">
        <v>1441819193</v>
      </c>
      <c r="E168">
        <v>15514512</v>
      </c>
      <c r="F168">
        <v>1</v>
      </c>
      <c r="G168">
        <v>15514512</v>
      </c>
      <c r="H168">
        <v>1</v>
      </c>
      <c r="I168" t="s">
        <v>355</v>
      </c>
      <c r="J168" t="s">
        <v>3</v>
      </c>
      <c r="K168" t="s">
        <v>356</v>
      </c>
      <c r="L168">
        <v>1191</v>
      </c>
      <c r="N168">
        <v>1013</v>
      </c>
      <c r="O168" t="s">
        <v>357</v>
      </c>
      <c r="P168" t="s">
        <v>357</v>
      </c>
      <c r="Q168">
        <v>1</v>
      </c>
      <c r="X168">
        <v>0.8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156</v>
      </c>
      <c r="AG168">
        <v>2.4000000000000004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ROW(Source!A314)</f>
        <v>314</v>
      </c>
      <c r="B169">
        <v>1474089913</v>
      </c>
      <c r="C169">
        <v>1471520387</v>
      </c>
      <c r="D169">
        <v>1441822228</v>
      </c>
      <c r="E169">
        <v>15514512</v>
      </c>
      <c r="F169">
        <v>1</v>
      </c>
      <c r="G169">
        <v>15514512</v>
      </c>
      <c r="H169">
        <v>3</v>
      </c>
      <c r="I169" t="s">
        <v>412</v>
      </c>
      <c r="J169" t="s">
        <v>3</v>
      </c>
      <c r="K169" t="s">
        <v>413</v>
      </c>
      <c r="L169">
        <v>1346</v>
      </c>
      <c r="N169">
        <v>1009</v>
      </c>
      <c r="O169" t="s">
        <v>368</v>
      </c>
      <c r="P169" t="s">
        <v>368</v>
      </c>
      <c r="Q169">
        <v>1</v>
      </c>
      <c r="X169">
        <v>0.01</v>
      </c>
      <c r="Y169">
        <v>73.951729999999998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156</v>
      </c>
      <c r="AG169">
        <v>0.03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ROW(Source!A315)</f>
        <v>315</v>
      </c>
      <c r="B170">
        <v>1474089914</v>
      </c>
      <c r="C170">
        <v>1471520404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355</v>
      </c>
      <c r="J170" t="s">
        <v>3</v>
      </c>
      <c r="K170" t="s">
        <v>356</v>
      </c>
      <c r="L170">
        <v>1191</v>
      </c>
      <c r="N170">
        <v>1013</v>
      </c>
      <c r="O170" t="s">
        <v>357</v>
      </c>
      <c r="P170" t="s">
        <v>357</v>
      </c>
      <c r="Q170">
        <v>1</v>
      </c>
      <c r="X170">
        <v>1.59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3</v>
      </c>
      <c r="AG170">
        <v>1.59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ROW(Source!A315)</f>
        <v>315</v>
      </c>
      <c r="B171">
        <v>1474089915</v>
      </c>
      <c r="C171">
        <v>1471520404</v>
      </c>
      <c r="D171">
        <v>1441836235</v>
      </c>
      <c r="E171">
        <v>1</v>
      </c>
      <c r="F171">
        <v>1</v>
      </c>
      <c r="G171">
        <v>15514512</v>
      </c>
      <c r="H171">
        <v>3</v>
      </c>
      <c r="I171" t="s">
        <v>388</v>
      </c>
      <c r="J171" t="s">
        <v>389</v>
      </c>
      <c r="K171" t="s">
        <v>390</v>
      </c>
      <c r="L171">
        <v>1346</v>
      </c>
      <c r="N171">
        <v>1009</v>
      </c>
      <c r="O171" t="s">
        <v>368</v>
      </c>
      <c r="P171" t="s">
        <v>368</v>
      </c>
      <c r="Q171">
        <v>1</v>
      </c>
      <c r="X171">
        <v>0.01</v>
      </c>
      <c r="Y171">
        <v>31.49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0.01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ROW(Source!A316)</f>
        <v>316</v>
      </c>
      <c r="B172">
        <v>1474089916</v>
      </c>
      <c r="C172">
        <v>1471520411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355</v>
      </c>
      <c r="J172" t="s">
        <v>3</v>
      </c>
      <c r="K172" t="s">
        <v>356</v>
      </c>
      <c r="L172">
        <v>1191</v>
      </c>
      <c r="N172">
        <v>1013</v>
      </c>
      <c r="O172" t="s">
        <v>357</v>
      </c>
      <c r="P172" t="s">
        <v>357</v>
      </c>
      <c r="Q172">
        <v>1</v>
      </c>
      <c r="X172">
        <v>0.14000000000000001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</v>
      </c>
      <c r="AG172">
        <v>0.14000000000000001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ROW(Source!A316)</f>
        <v>316</v>
      </c>
      <c r="B173">
        <v>1474089917</v>
      </c>
      <c r="C173">
        <v>1471520411</v>
      </c>
      <c r="D173">
        <v>1441834213</v>
      </c>
      <c r="E173">
        <v>1</v>
      </c>
      <c r="F173">
        <v>1</v>
      </c>
      <c r="G173">
        <v>15514512</v>
      </c>
      <c r="H173">
        <v>2</v>
      </c>
      <c r="I173" t="s">
        <v>417</v>
      </c>
      <c r="J173" t="s">
        <v>418</v>
      </c>
      <c r="K173" t="s">
        <v>419</v>
      </c>
      <c r="L173">
        <v>1368</v>
      </c>
      <c r="N173">
        <v>1011</v>
      </c>
      <c r="O173" t="s">
        <v>361</v>
      </c>
      <c r="P173" t="s">
        <v>361</v>
      </c>
      <c r="Q173">
        <v>1</v>
      </c>
      <c r="X173">
        <v>0.03</v>
      </c>
      <c r="Y173">
        <v>0</v>
      </c>
      <c r="Z173">
        <v>7.68</v>
      </c>
      <c r="AA173">
        <v>0.05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0.03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ROW(Source!A316)</f>
        <v>316</v>
      </c>
      <c r="B174">
        <v>1474089918</v>
      </c>
      <c r="C174">
        <v>1471520411</v>
      </c>
      <c r="D174">
        <v>1441836235</v>
      </c>
      <c r="E174">
        <v>1</v>
      </c>
      <c r="F174">
        <v>1</v>
      </c>
      <c r="G174">
        <v>15514512</v>
      </c>
      <c r="H174">
        <v>3</v>
      </c>
      <c r="I174" t="s">
        <v>388</v>
      </c>
      <c r="J174" t="s">
        <v>389</v>
      </c>
      <c r="K174" t="s">
        <v>390</v>
      </c>
      <c r="L174">
        <v>1346</v>
      </c>
      <c r="N174">
        <v>1009</v>
      </c>
      <c r="O174" t="s">
        <v>368</v>
      </c>
      <c r="P174" t="s">
        <v>368</v>
      </c>
      <c r="Q174">
        <v>1</v>
      </c>
      <c r="X174">
        <v>7.0000000000000007E-2</v>
      </c>
      <c r="Y174">
        <v>31.49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7.0000000000000007E-2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ROW(Source!A317)</f>
        <v>317</v>
      </c>
      <c r="B175">
        <v>1474089919</v>
      </c>
      <c r="C175">
        <v>1471520421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355</v>
      </c>
      <c r="J175" t="s">
        <v>3</v>
      </c>
      <c r="K175" t="s">
        <v>356</v>
      </c>
      <c r="L175">
        <v>1191</v>
      </c>
      <c r="N175">
        <v>1013</v>
      </c>
      <c r="O175" t="s">
        <v>357</v>
      </c>
      <c r="P175" t="s">
        <v>357</v>
      </c>
      <c r="Q175">
        <v>1</v>
      </c>
      <c r="X175">
        <v>0.41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156</v>
      </c>
      <c r="AG175">
        <v>1.23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ROW(Source!A318)</f>
        <v>318</v>
      </c>
      <c r="B176">
        <v>1474089920</v>
      </c>
      <c r="C176">
        <v>1471520425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355</v>
      </c>
      <c r="J176" t="s">
        <v>3</v>
      </c>
      <c r="K176" t="s">
        <v>356</v>
      </c>
      <c r="L176">
        <v>1191</v>
      </c>
      <c r="N176">
        <v>1013</v>
      </c>
      <c r="O176" t="s">
        <v>357</v>
      </c>
      <c r="P176" t="s">
        <v>357</v>
      </c>
      <c r="Q176">
        <v>1</v>
      </c>
      <c r="X176">
        <v>1.84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</v>
      </c>
      <c r="AG176">
        <v>1.84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ROW(Source!A318)</f>
        <v>318</v>
      </c>
      <c r="B177">
        <v>1474089921</v>
      </c>
      <c r="C177">
        <v>1471520425</v>
      </c>
      <c r="D177">
        <v>1441833954</v>
      </c>
      <c r="E177">
        <v>1</v>
      </c>
      <c r="F177">
        <v>1</v>
      </c>
      <c r="G177">
        <v>15514512</v>
      </c>
      <c r="H177">
        <v>2</v>
      </c>
      <c r="I177" t="s">
        <v>425</v>
      </c>
      <c r="J177" t="s">
        <v>426</v>
      </c>
      <c r="K177" t="s">
        <v>427</v>
      </c>
      <c r="L177">
        <v>1368</v>
      </c>
      <c r="N177">
        <v>1011</v>
      </c>
      <c r="O177" t="s">
        <v>361</v>
      </c>
      <c r="P177" t="s">
        <v>361</v>
      </c>
      <c r="Q177">
        <v>1</v>
      </c>
      <c r="X177">
        <v>6.88E-2</v>
      </c>
      <c r="Y177">
        <v>0</v>
      </c>
      <c r="Z177">
        <v>59.51</v>
      </c>
      <c r="AA177">
        <v>0.82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6.88E-2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ROW(Source!A318)</f>
        <v>318</v>
      </c>
      <c r="B178">
        <v>1474089922</v>
      </c>
      <c r="C178">
        <v>1471520425</v>
      </c>
      <c r="D178">
        <v>1441836235</v>
      </c>
      <c r="E178">
        <v>1</v>
      </c>
      <c r="F178">
        <v>1</v>
      </c>
      <c r="G178">
        <v>15514512</v>
      </c>
      <c r="H178">
        <v>3</v>
      </c>
      <c r="I178" t="s">
        <v>388</v>
      </c>
      <c r="J178" t="s">
        <v>389</v>
      </c>
      <c r="K178" t="s">
        <v>390</v>
      </c>
      <c r="L178">
        <v>1346</v>
      </c>
      <c r="N178">
        <v>1009</v>
      </c>
      <c r="O178" t="s">
        <v>368</v>
      </c>
      <c r="P178" t="s">
        <v>368</v>
      </c>
      <c r="Q178">
        <v>1</v>
      </c>
      <c r="X178">
        <v>5.2999999999999999E-2</v>
      </c>
      <c r="Y178">
        <v>31.49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5.2999999999999999E-2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ROW(Source!A319)</f>
        <v>319</v>
      </c>
      <c r="B179">
        <v>1474089923</v>
      </c>
      <c r="C179">
        <v>1471520435</v>
      </c>
      <c r="D179">
        <v>1441819193</v>
      </c>
      <c r="E179">
        <v>15514512</v>
      </c>
      <c r="F179">
        <v>1</v>
      </c>
      <c r="G179">
        <v>15514512</v>
      </c>
      <c r="H179">
        <v>1</v>
      </c>
      <c r="I179" t="s">
        <v>355</v>
      </c>
      <c r="J179" t="s">
        <v>3</v>
      </c>
      <c r="K179" t="s">
        <v>356</v>
      </c>
      <c r="L179">
        <v>1191</v>
      </c>
      <c r="N179">
        <v>1013</v>
      </c>
      <c r="O179" t="s">
        <v>357</v>
      </c>
      <c r="P179" t="s">
        <v>357</v>
      </c>
      <c r="Q179">
        <v>1</v>
      </c>
      <c r="X179">
        <v>1.84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3</v>
      </c>
      <c r="AG179">
        <v>1.84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ROW(Source!A319)</f>
        <v>319</v>
      </c>
      <c r="B180">
        <v>1474089924</v>
      </c>
      <c r="C180">
        <v>1471520435</v>
      </c>
      <c r="D180">
        <v>1441833954</v>
      </c>
      <c r="E180">
        <v>1</v>
      </c>
      <c r="F180">
        <v>1</v>
      </c>
      <c r="G180">
        <v>15514512</v>
      </c>
      <c r="H180">
        <v>2</v>
      </c>
      <c r="I180" t="s">
        <v>425</v>
      </c>
      <c r="J180" t="s">
        <v>426</v>
      </c>
      <c r="K180" t="s">
        <v>427</v>
      </c>
      <c r="L180">
        <v>1368</v>
      </c>
      <c r="N180">
        <v>1011</v>
      </c>
      <c r="O180" t="s">
        <v>361</v>
      </c>
      <c r="P180" t="s">
        <v>361</v>
      </c>
      <c r="Q180">
        <v>1</v>
      </c>
      <c r="X180">
        <v>6.88E-2</v>
      </c>
      <c r="Y180">
        <v>0</v>
      </c>
      <c r="Z180">
        <v>59.51</v>
      </c>
      <c r="AA180">
        <v>0.82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6.88E-2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ROW(Source!A319)</f>
        <v>319</v>
      </c>
      <c r="B181">
        <v>1474089925</v>
      </c>
      <c r="C181">
        <v>1471520435</v>
      </c>
      <c r="D181">
        <v>1441836235</v>
      </c>
      <c r="E181">
        <v>1</v>
      </c>
      <c r="F181">
        <v>1</v>
      </c>
      <c r="G181">
        <v>15514512</v>
      </c>
      <c r="H181">
        <v>3</v>
      </c>
      <c r="I181" t="s">
        <v>388</v>
      </c>
      <c r="J181" t="s">
        <v>389</v>
      </c>
      <c r="K181" t="s">
        <v>390</v>
      </c>
      <c r="L181">
        <v>1346</v>
      </c>
      <c r="N181">
        <v>1009</v>
      </c>
      <c r="O181" t="s">
        <v>368</v>
      </c>
      <c r="P181" t="s">
        <v>368</v>
      </c>
      <c r="Q181">
        <v>1</v>
      </c>
      <c r="X181">
        <v>5.2999999999999999E-2</v>
      </c>
      <c r="Y181">
        <v>31.49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5.2999999999999999E-2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ROW(Source!A320)</f>
        <v>320</v>
      </c>
      <c r="B182">
        <v>1474089926</v>
      </c>
      <c r="C182">
        <v>1471520445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355</v>
      </c>
      <c r="J182" t="s">
        <v>3</v>
      </c>
      <c r="K182" t="s">
        <v>356</v>
      </c>
      <c r="L182">
        <v>1191</v>
      </c>
      <c r="N182">
        <v>1013</v>
      </c>
      <c r="O182" t="s">
        <v>357</v>
      </c>
      <c r="P182" t="s">
        <v>357</v>
      </c>
      <c r="Q182">
        <v>1</v>
      </c>
      <c r="X182">
        <v>0.2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152</v>
      </c>
      <c r="AG182">
        <v>1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ROW(Source!A320)</f>
        <v>320</v>
      </c>
      <c r="B183">
        <v>1474089927</v>
      </c>
      <c r="C183">
        <v>1471520445</v>
      </c>
      <c r="D183">
        <v>1441833954</v>
      </c>
      <c r="E183">
        <v>1</v>
      </c>
      <c r="F183">
        <v>1</v>
      </c>
      <c r="G183">
        <v>15514512</v>
      </c>
      <c r="H183">
        <v>2</v>
      </c>
      <c r="I183" t="s">
        <v>425</v>
      </c>
      <c r="J183" t="s">
        <v>426</v>
      </c>
      <c r="K183" t="s">
        <v>427</v>
      </c>
      <c r="L183">
        <v>1368</v>
      </c>
      <c r="N183">
        <v>1011</v>
      </c>
      <c r="O183" t="s">
        <v>361</v>
      </c>
      <c r="P183" t="s">
        <v>361</v>
      </c>
      <c r="Q183">
        <v>1</v>
      </c>
      <c r="X183">
        <v>1.24E-2</v>
      </c>
      <c r="Y183">
        <v>0</v>
      </c>
      <c r="Z183">
        <v>59.51</v>
      </c>
      <c r="AA183">
        <v>0.82</v>
      </c>
      <c r="AB183">
        <v>0</v>
      </c>
      <c r="AC183">
        <v>0</v>
      </c>
      <c r="AD183">
        <v>1</v>
      </c>
      <c r="AE183">
        <v>0</v>
      </c>
      <c r="AF183" t="s">
        <v>152</v>
      </c>
      <c r="AG183">
        <v>6.2E-2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ROW(Source!A320)</f>
        <v>320</v>
      </c>
      <c r="B184">
        <v>1474089928</v>
      </c>
      <c r="C184">
        <v>1471520445</v>
      </c>
      <c r="D184">
        <v>1441836235</v>
      </c>
      <c r="E184">
        <v>1</v>
      </c>
      <c r="F184">
        <v>1</v>
      </c>
      <c r="G184">
        <v>15514512</v>
      </c>
      <c r="H184">
        <v>3</v>
      </c>
      <c r="I184" t="s">
        <v>388</v>
      </c>
      <c r="J184" t="s">
        <v>389</v>
      </c>
      <c r="K184" t="s">
        <v>390</v>
      </c>
      <c r="L184">
        <v>1346</v>
      </c>
      <c r="N184">
        <v>1009</v>
      </c>
      <c r="O184" t="s">
        <v>368</v>
      </c>
      <c r="P184" t="s">
        <v>368</v>
      </c>
      <c r="Q184">
        <v>1</v>
      </c>
      <c r="X184">
        <v>0.01</v>
      </c>
      <c r="Y184">
        <v>31.49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152</v>
      </c>
      <c r="AG184">
        <v>0.05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ROW(Source!A321)</f>
        <v>321</v>
      </c>
      <c r="B185">
        <v>1474089929</v>
      </c>
      <c r="C185">
        <v>1471520455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355</v>
      </c>
      <c r="J185" t="s">
        <v>3</v>
      </c>
      <c r="K185" t="s">
        <v>356</v>
      </c>
      <c r="L185">
        <v>1191</v>
      </c>
      <c r="N185">
        <v>1013</v>
      </c>
      <c r="O185" t="s">
        <v>357</v>
      </c>
      <c r="P185" t="s">
        <v>357</v>
      </c>
      <c r="Q185">
        <v>1</v>
      </c>
      <c r="X185">
        <v>0.56999999999999995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82</v>
      </c>
      <c r="AG185">
        <v>139.64999999999998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ROW(Source!A321)</f>
        <v>321</v>
      </c>
      <c r="B186">
        <v>1474089930</v>
      </c>
      <c r="C186">
        <v>1471520455</v>
      </c>
      <c r="D186">
        <v>1441836373</v>
      </c>
      <c r="E186">
        <v>1</v>
      </c>
      <c r="F186">
        <v>1</v>
      </c>
      <c r="G186">
        <v>15514512</v>
      </c>
      <c r="H186">
        <v>3</v>
      </c>
      <c r="I186" t="s">
        <v>420</v>
      </c>
      <c r="J186" t="s">
        <v>421</v>
      </c>
      <c r="K186" t="s">
        <v>422</v>
      </c>
      <c r="L186">
        <v>1296</v>
      </c>
      <c r="N186">
        <v>1002</v>
      </c>
      <c r="O186" t="s">
        <v>365</v>
      </c>
      <c r="P186" t="s">
        <v>365</v>
      </c>
      <c r="Q186">
        <v>1</v>
      </c>
      <c r="X186">
        <v>0.3</v>
      </c>
      <c r="Y186">
        <v>134.46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82</v>
      </c>
      <c r="AG186">
        <v>73.5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ROW(Source!A321)</f>
        <v>321</v>
      </c>
      <c r="B187">
        <v>1474089931</v>
      </c>
      <c r="C187">
        <v>1471520455</v>
      </c>
      <c r="D187">
        <v>1441836514</v>
      </c>
      <c r="E187">
        <v>1</v>
      </c>
      <c r="F187">
        <v>1</v>
      </c>
      <c r="G187">
        <v>15514512</v>
      </c>
      <c r="H187">
        <v>3</v>
      </c>
      <c r="I187" t="s">
        <v>378</v>
      </c>
      <c r="J187" t="s">
        <v>379</v>
      </c>
      <c r="K187" t="s">
        <v>380</v>
      </c>
      <c r="L187">
        <v>1339</v>
      </c>
      <c r="N187">
        <v>1007</v>
      </c>
      <c r="O187" t="s">
        <v>381</v>
      </c>
      <c r="P187" t="s">
        <v>381</v>
      </c>
      <c r="Q187">
        <v>1</v>
      </c>
      <c r="X187">
        <v>0.01</v>
      </c>
      <c r="Y187">
        <v>54.81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82</v>
      </c>
      <c r="AG187">
        <v>2.4500000000000002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ROW(Source!A322)</f>
        <v>322</v>
      </c>
      <c r="B188">
        <v>1474089932</v>
      </c>
      <c r="C188">
        <v>1471520466</v>
      </c>
      <c r="D188">
        <v>1441819193</v>
      </c>
      <c r="E188">
        <v>15514512</v>
      </c>
      <c r="F188">
        <v>1</v>
      </c>
      <c r="G188">
        <v>15514512</v>
      </c>
      <c r="H188">
        <v>1</v>
      </c>
      <c r="I188" t="s">
        <v>355</v>
      </c>
      <c r="J188" t="s">
        <v>3</v>
      </c>
      <c r="K188" t="s">
        <v>356</v>
      </c>
      <c r="L188">
        <v>1191</v>
      </c>
      <c r="N188">
        <v>1013</v>
      </c>
      <c r="O188" t="s">
        <v>357</v>
      </c>
      <c r="P188" t="s">
        <v>357</v>
      </c>
      <c r="Q188">
        <v>1</v>
      </c>
      <c r="X188">
        <v>0.34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</v>
      </c>
      <c r="AG188">
        <v>0.34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ROW(Source!A322)</f>
        <v>322</v>
      </c>
      <c r="B189">
        <v>1474089933</v>
      </c>
      <c r="C189">
        <v>1471520466</v>
      </c>
      <c r="D189">
        <v>1441836912</v>
      </c>
      <c r="E189">
        <v>1</v>
      </c>
      <c r="F189">
        <v>1</v>
      </c>
      <c r="G189">
        <v>15514512</v>
      </c>
      <c r="H189">
        <v>3</v>
      </c>
      <c r="I189" t="s">
        <v>394</v>
      </c>
      <c r="J189" t="s">
        <v>395</v>
      </c>
      <c r="K189" t="s">
        <v>396</v>
      </c>
      <c r="L189">
        <v>1354</v>
      </c>
      <c r="N189">
        <v>16987630</v>
      </c>
      <c r="O189" t="s">
        <v>39</v>
      </c>
      <c r="P189" t="s">
        <v>39</v>
      </c>
      <c r="Q189">
        <v>1</v>
      </c>
      <c r="X189">
        <v>0.3</v>
      </c>
      <c r="Y189">
        <v>27.52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0.3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ROW(Source!A323)</f>
        <v>323</v>
      </c>
      <c r="B190">
        <v>1474089934</v>
      </c>
      <c r="C190">
        <v>1471520473</v>
      </c>
      <c r="D190">
        <v>1441819193</v>
      </c>
      <c r="E190">
        <v>15514512</v>
      </c>
      <c r="F190">
        <v>1</v>
      </c>
      <c r="G190">
        <v>15514512</v>
      </c>
      <c r="H190">
        <v>1</v>
      </c>
      <c r="I190" t="s">
        <v>355</v>
      </c>
      <c r="J190" t="s">
        <v>3</v>
      </c>
      <c r="K190" t="s">
        <v>356</v>
      </c>
      <c r="L190">
        <v>1191</v>
      </c>
      <c r="N190">
        <v>1013</v>
      </c>
      <c r="O190" t="s">
        <v>357</v>
      </c>
      <c r="P190" t="s">
        <v>357</v>
      </c>
      <c r="Q190">
        <v>1</v>
      </c>
      <c r="X190">
        <v>0.18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197</v>
      </c>
      <c r="AG190">
        <v>0.18720000000000001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ROW(Source!A323)</f>
        <v>323</v>
      </c>
      <c r="B191">
        <v>1474089935</v>
      </c>
      <c r="C191">
        <v>1471520473</v>
      </c>
      <c r="D191">
        <v>1441836235</v>
      </c>
      <c r="E191">
        <v>1</v>
      </c>
      <c r="F191">
        <v>1</v>
      </c>
      <c r="G191">
        <v>15514512</v>
      </c>
      <c r="H191">
        <v>3</v>
      </c>
      <c r="I191" t="s">
        <v>388</v>
      </c>
      <c r="J191" t="s">
        <v>389</v>
      </c>
      <c r="K191" t="s">
        <v>390</v>
      </c>
      <c r="L191">
        <v>1346</v>
      </c>
      <c r="N191">
        <v>1009</v>
      </c>
      <c r="O191" t="s">
        <v>368</v>
      </c>
      <c r="P191" t="s">
        <v>368</v>
      </c>
      <c r="Q191">
        <v>1</v>
      </c>
      <c r="X191">
        <v>0.04</v>
      </c>
      <c r="Y191">
        <v>31.49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0.04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ROW(Source!A324)</f>
        <v>324</v>
      </c>
      <c r="B192">
        <v>1474089936</v>
      </c>
      <c r="C192">
        <v>1471520480</v>
      </c>
      <c r="D192">
        <v>1441819193</v>
      </c>
      <c r="E192">
        <v>15514512</v>
      </c>
      <c r="F192">
        <v>1</v>
      </c>
      <c r="G192">
        <v>15514512</v>
      </c>
      <c r="H192">
        <v>1</v>
      </c>
      <c r="I192" t="s">
        <v>355</v>
      </c>
      <c r="J192" t="s">
        <v>3</v>
      </c>
      <c r="K192" t="s">
        <v>356</v>
      </c>
      <c r="L192">
        <v>1191</v>
      </c>
      <c r="N192">
        <v>1013</v>
      </c>
      <c r="O192" t="s">
        <v>357</v>
      </c>
      <c r="P192" t="s">
        <v>357</v>
      </c>
      <c r="Q192">
        <v>1</v>
      </c>
      <c r="X192">
        <v>0.3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197</v>
      </c>
      <c r="AG192">
        <v>0.312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ROW(Source!A324)</f>
        <v>324</v>
      </c>
      <c r="B193">
        <v>1474089937</v>
      </c>
      <c r="C193">
        <v>1471520480</v>
      </c>
      <c r="D193">
        <v>1441836235</v>
      </c>
      <c r="E193">
        <v>1</v>
      </c>
      <c r="F193">
        <v>1</v>
      </c>
      <c r="G193">
        <v>15514512</v>
      </c>
      <c r="H193">
        <v>3</v>
      </c>
      <c r="I193" t="s">
        <v>388</v>
      </c>
      <c r="J193" t="s">
        <v>389</v>
      </c>
      <c r="K193" t="s">
        <v>390</v>
      </c>
      <c r="L193">
        <v>1346</v>
      </c>
      <c r="N193">
        <v>1009</v>
      </c>
      <c r="O193" t="s">
        <v>368</v>
      </c>
      <c r="P193" t="s">
        <v>368</v>
      </c>
      <c r="Q193">
        <v>1</v>
      </c>
      <c r="X193">
        <v>0.02</v>
      </c>
      <c r="Y193">
        <v>31.49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0.02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ROW(Source!A325)</f>
        <v>325</v>
      </c>
      <c r="B194">
        <v>1474089938</v>
      </c>
      <c r="C194">
        <v>1471520487</v>
      </c>
      <c r="D194">
        <v>1441819193</v>
      </c>
      <c r="E194">
        <v>15514512</v>
      </c>
      <c r="F194">
        <v>1</v>
      </c>
      <c r="G194">
        <v>15514512</v>
      </c>
      <c r="H194">
        <v>1</v>
      </c>
      <c r="I194" t="s">
        <v>355</v>
      </c>
      <c r="J194" t="s">
        <v>3</v>
      </c>
      <c r="K194" t="s">
        <v>356</v>
      </c>
      <c r="L194">
        <v>1191</v>
      </c>
      <c r="N194">
        <v>1013</v>
      </c>
      <c r="O194" t="s">
        <v>357</v>
      </c>
      <c r="P194" t="s">
        <v>357</v>
      </c>
      <c r="Q194">
        <v>1</v>
      </c>
      <c r="X194">
        <v>0.4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197</v>
      </c>
      <c r="AG194">
        <v>0.41600000000000004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ROW(Source!A325)</f>
        <v>325</v>
      </c>
      <c r="B195">
        <v>1474089939</v>
      </c>
      <c r="C195">
        <v>1471520487</v>
      </c>
      <c r="D195">
        <v>1441836235</v>
      </c>
      <c r="E195">
        <v>1</v>
      </c>
      <c r="F195">
        <v>1</v>
      </c>
      <c r="G195">
        <v>15514512</v>
      </c>
      <c r="H195">
        <v>3</v>
      </c>
      <c r="I195" t="s">
        <v>388</v>
      </c>
      <c r="J195" t="s">
        <v>389</v>
      </c>
      <c r="K195" t="s">
        <v>390</v>
      </c>
      <c r="L195">
        <v>1346</v>
      </c>
      <c r="N195">
        <v>1009</v>
      </c>
      <c r="O195" t="s">
        <v>368</v>
      </c>
      <c r="P195" t="s">
        <v>368</v>
      </c>
      <c r="Q195">
        <v>1</v>
      </c>
      <c r="X195">
        <v>0.04</v>
      </c>
      <c r="Y195">
        <v>31.49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3</v>
      </c>
      <c r="AG195">
        <v>0.04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ROW(Source!A326)</f>
        <v>326</v>
      </c>
      <c r="B196">
        <v>1474089940</v>
      </c>
      <c r="C196">
        <v>1471520494</v>
      </c>
      <c r="D196">
        <v>1441819193</v>
      </c>
      <c r="E196">
        <v>15514512</v>
      </c>
      <c r="F196">
        <v>1</v>
      </c>
      <c r="G196">
        <v>15514512</v>
      </c>
      <c r="H196">
        <v>1</v>
      </c>
      <c r="I196" t="s">
        <v>355</v>
      </c>
      <c r="J196" t="s">
        <v>3</v>
      </c>
      <c r="K196" t="s">
        <v>356</v>
      </c>
      <c r="L196">
        <v>1191</v>
      </c>
      <c r="N196">
        <v>1013</v>
      </c>
      <c r="O196" t="s">
        <v>357</v>
      </c>
      <c r="P196" t="s">
        <v>357</v>
      </c>
      <c r="Q196">
        <v>1</v>
      </c>
      <c r="X196">
        <v>0.26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1</v>
      </c>
      <c r="AF196" t="s">
        <v>57</v>
      </c>
      <c r="AG196">
        <v>1.04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ROW(Source!A326)</f>
        <v>326</v>
      </c>
      <c r="B197">
        <v>1474089941</v>
      </c>
      <c r="C197">
        <v>1471520494</v>
      </c>
      <c r="D197">
        <v>1441836235</v>
      </c>
      <c r="E197">
        <v>1</v>
      </c>
      <c r="F197">
        <v>1</v>
      </c>
      <c r="G197">
        <v>15514512</v>
      </c>
      <c r="H197">
        <v>3</v>
      </c>
      <c r="I197" t="s">
        <v>388</v>
      </c>
      <c r="J197" t="s">
        <v>389</v>
      </c>
      <c r="K197" t="s">
        <v>390</v>
      </c>
      <c r="L197">
        <v>1346</v>
      </c>
      <c r="N197">
        <v>1009</v>
      </c>
      <c r="O197" t="s">
        <v>368</v>
      </c>
      <c r="P197" t="s">
        <v>368</v>
      </c>
      <c r="Q197">
        <v>1</v>
      </c>
      <c r="X197">
        <v>0.04</v>
      </c>
      <c r="Y197">
        <v>31.49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57</v>
      </c>
      <c r="AG197">
        <v>0.16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ROW(Source!A327)</f>
        <v>327</v>
      </c>
      <c r="B198">
        <v>1474089942</v>
      </c>
      <c r="C198">
        <v>1471520507</v>
      </c>
      <c r="D198">
        <v>1441819193</v>
      </c>
      <c r="E198">
        <v>15514512</v>
      </c>
      <c r="F198">
        <v>1</v>
      </c>
      <c r="G198">
        <v>15514512</v>
      </c>
      <c r="H198">
        <v>1</v>
      </c>
      <c r="I198" t="s">
        <v>355</v>
      </c>
      <c r="J198" t="s">
        <v>3</v>
      </c>
      <c r="K198" t="s">
        <v>356</v>
      </c>
      <c r="L198">
        <v>1191</v>
      </c>
      <c r="N198">
        <v>1013</v>
      </c>
      <c r="O198" t="s">
        <v>357</v>
      </c>
      <c r="P198" t="s">
        <v>357</v>
      </c>
      <c r="Q198">
        <v>1</v>
      </c>
      <c r="X198">
        <v>0.5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1</v>
      </c>
      <c r="AF198" t="s">
        <v>57</v>
      </c>
      <c r="AG198">
        <v>2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ROW(Source!A328)</f>
        <v>328</v>
      </c>
      <c r="B199">
        <v>1474089943</v>
      </c>
      <c r="C199">
        <v>1471520524</v>
      </c>
      <c r="D199">
        <v>1441819193</v>
      </c>
      <c r="E199">
        <v>15514512</v>
      </c>
      <c r="F199">
        <v>1</v>
      </c>
      <c r="G199">
        <v>15514512</v>
      </c>
      <c r="H199">
        <v>1</v>
      </c>
      <c r="I199" t="s">
        <v>355</v>
      </c>
      <c r="J199" t="s">
        <v>3</v>
      </c>
      <c r="K199" t="s">
        <v>356</v>
      </c>
      <c r="L199">
        <v>1191</v>
      </c>
      <c r="N199">
        <v>1013</v>
      </c>
      <c r="O199" t="s">
        <v>357</v>
      </c>
      <c r="P199" t="s">
        <v>357</v>
      </c>
      <c r="Q199">
        <v>1</v>
      </c>
      <c r="X199">
        <v>1.76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3</v>
      </c>
      <c r="AG199">
        <v>1.76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ROW(Source!A329)</f>
        <v>329</v>
      </c>
      <c r="B200">
        <v>1474089944</v>
      </c>
      <c r="C200">
        <v>1471520528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355</v>
      </c>
      <c r="J200" t="s">
        <v>3</v>
      </c>
      <c r="K200" t="s">
        <v>356</v>
      </c>
      <c r="L200">
        <v>1191</v>
      </c>
      <c r="N200">
        <v>1013</v>
      </c>
      <c r="O200" t="s">
        <v>357</v>
      </c>
      <c r="P200" t="s">
        <v>357</v>
      </c>
      <c r="Q200">
        <v>1</v>
      </c>
      <c r="X200">
        <v>3.38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3</v>
      </c>
      <c r="AG200">
        <v>3.38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ROW(Source!A329)</f>
        <v>329</v>
      </c>
      <c r="B201">
        <v>1474089945</v>
      </c>
      <c r="C201">
        <v>1471520528</v>
      </c>
      <c r="D201">
        <v>1441836235</v>
      </c>
      <c r="E201">
        <v>1</v>
      </c>
      <c r="F201">
        <v>1</v>
      </c>
      <c r="G201">
        <v>15514512</v>
      </c>
      <c r="H201">
        <v>3</v>
      </c>
      <c r="I201" t="s">
        <v>388</v>
      </c>
      <c r="J201" t="s">
        <v>389</v>
      </c>
      <c r="K201" t="s">
        <v>390</v>
      </c>
      <c r="L201">
        <v>1346</v>
      </c>
      <c r="N201">
        <v>1009</v>
      </c>
      <c r="O201" t="s">
        <v>368</v>
      </c>
      <c r="P201" t="s">
        <v>368</v>
      </c>
      <c r="Q201">
        <v>1</v>
      </c>
      <c r="X201">
        <v>0.1</v>
      </c>
      <c r="Y201">
        <v>31.49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0.1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ROW(Source!A329)</f>
        <v>329</v>
      </c>
      <c r="B202">
        <v>1474089946</v>
      </c>
      <c r="C202">
        <v>1471520528</v>
      </c>
      <c r="D202">
        <v>1441821379</v>
      </c>
      <c r="E202">
        <v>15514512</v>
      </c>
      <c r="F202">
        <v>1</v>
      </c>
      <c r="G202">
        <v>15514512</v>
      </c>
      <c r="H202">
        <v>3</v>
      </c>
      <c r="I202" t="s">
        <v>423</v>
      </c>
      <c r="J202" t="s">
        <v>3</v>
      </c>
      <c r="K202" t="s">
        <v>424</v>
      </c>
      <c r="L202">
        <v>1346</v>
      </c>
      <c r="N202">
        <v>1009</v>
      </c>
      <c r="O202" t="s">
        <v>368</v>
      </c>
      <c r="P202" t="s">
        <v>368</v>
      </c>
      <c r="Q202">
        <v>1</v>
      </c>
      <c r="X202">
        <v>2.4E-2</v>
      </c>
      <c r="Y202">
        <v>89.933959999999999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2.4E-2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ROW(Source!A330)</f>
        <v>330</v>
      </c>
      <c r="B203">
        <v>1474089947</v>
      </c>
      <c r="C203">
        <v>1471520538</v>
      </c>
      <c r="D203">
        <v>1441819193</v>
      </c>
      <c r="E203">
        <v>15514512</v>
      </c>
      <c r="F203">
        <v>1</v>
      </c>
      <c r="G203">
        <v>15514512</v>
      </c>
      <c r="H203">
        <v>1</v>
      </c>
      <c r="I203" t="s">
        <v>355</v>
      </c>
      <c r="J203" t="s">
        <v>3</v>
      </c>
      <c r="K203" t="s">
        <v>356</v>
      </c>
      <c r="L203">
        <v>1191</v>
      </c>
      <c r="N203">
        <v>1013</v>
      </c>
      <c r="O203" t="s">
        <v>357</v>
      </c>
      <c r="P203" t="s">
        <v>357</v>
      </c>
      <c r="Q203">
        <v>1</v>
      </c>
      <c r="X203">
        <v>6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1</v>
      </c>
      <c r="AF203" t="s">
        <v>57</v>
      </c>
      <c r="AG203">
        <v>24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ROW(Source!A330)</f>
        <v>330</v>
      </c>
      <c r="B204">
        <v>1474089948</v>
      </c>
      <c r="C204">
        <v>1471520538</v>
      </c>
      <c r="D204">
        <v>1441834258</v>
      </c>
      <c r="E204">
        <v>1</v>
      </c>
      <c r="F204">
        <v>1</v>
      </c>
      <c r="G204">
        <v>15514512</v>
      </c>
      <c r="H204">
        <v>2</v>
      </c>
      <c r="I204" t="s">
        <v>371</v>
      </c>
      <c r="J204" t="s">
        <v>372</v>
      </c>
      <c r="K204" t="s">
        <v>373</v>
      </c>
      <c r="L204">
        <v>1368</v>
      </c>
      <c r="N204">
        <v>1011</v>
      </c>
      <c r="O204" t="s">
        <v>361</v>
      </c>
      <c r="P204" t="s">
        <v>361</v>
      </c>
      <c r="Q204">
        <v>1</v>
      </c>
      <c r="X204">
        <v>0.7</v>
      </c>
      <c r="Y204">
        <v>0</v>
      </c>
      <c r="Z204">
        <v>1303.01</v>
      </c>
      <c r="AA204">
        <v>826.2</v>
      </c>
      <c r="AB204">
        <v>0</v>
      </c>
      <c r="AC204">
        <v>0</v>
      </c>
      <c r="AD204">
        <v>1</v>
      </c>
      <c r="AE204">
        <v>0</v>
      </c>
      <c r="AF204" t="s">
        <v>57</v>
      </c>
      <c r="AG204">
        <v>2.8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ROW(Source!A330)</f>
        <v>330</v>
      </c>
      <c r="B205">
        <v>1474089949</v>
      </c>
      <c r="C205">
        <v>1471520538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388</v>
      </c>
      <c r="J205" t="s">
        <v>389</v>
      </c>
      <c r="K205" t="s">
        <v>390</v>
      </c>
      <c r="L205">
        <v>1346</v>
      </c>
      <c r="N205">
        <v>1009</v>
      </c>
      <c r="O205" t="s">
        <v>368</v>
      </c>
      <c r="P205" t="s">
        <v>368</v>
      </c>
      <c r="Q205">
        <v>1</v>
      </c>
      <c r="X205">
        <v>0.03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57</v>
      </c>
      <c r="AG205">
        <v>0.12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ROW(Source!A331)</f>
        <v>331</v>
      </c>
      <c r="B206">
        <v>1474089950</v>
      </c>
      <c r="C206">
        <v>1471520548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355</v>
      </c>
      <c r="J206" t="s">
        <v>3</v>
      </c>
      <c r="K206" t="s">
        <v>356</v>
      </c>
      <c r="L206">
        <v>1191</v>
      </c>
      <c r="N206">
        <v>1013</v>
      </c>
      <c r="O206" t="s">
        <v>357</v>
      </c>
      <c r="P206" t="s">
        <v>357</v>
      </c>
      <c r="Q206">
        <v>1</v>
      </c>
      <c r="X206">
        <v>0.4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0.4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ROW(Source!A331)</f>
        <v>331</v>
      </c>
      <c r="B207">
        <v>1474089951</v>
      </c>
      <c r="C207">
        <v>1471520548</v>
      </c>
      <c r="D207">
        <v>1441836235</v>
      </c>
      <c r="E207">
        <v>1</v>
      </c>
      <c r="F207">
        <v>1</v>
      </c>
      <c r="G207">
        <v>15514512</v>
      </c>
      <c r="H207">
        <v>3</v>
      </c>
      <c r="I207" t="s">
        <v>388</v>
      </c>
      <c r="J207" t="s">
        <v>389</v>
      </c>
      <c r="K207" t="s">
        <v>390</v>
      </c>
      <c r="L207">
        <v>1346</v>
      </c>
      <c r="N207">
        <v>1009</v>
      </c>
      <c r="O207" t="s">
        <v>368</v>
      </c>
      <c r="P207" t="s">
        <v>368</v>
      </c>
      <c r="Q207">
        <v>1</v>
      </c>
      <c r="X207">
        <v>0.2</v>
      </c>
      <c r="Y207">
        <v>31.49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0.2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ROW(Source!A332)</f>
        <v>332</v>
      </c>
      <c r="B208">
        <v>1474089952</v>
      </c>
      <c r="C208">
        <v>1471520555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355</v>
      </c>
      <c r="J208" t="s">
        <v>3</v>
      </c>
      <c r="K208" t="s">
        <v>356</v>
      </c>
      <c r="L208">
        <v>1191</v>
      </c>
      <c r="N208">
        <v>1013</v>
      </c>
      <c r="O208" t="s">
        <v>357</v>
      </c>
      <c r="P208" t="s">
        <v>357</v>
      </c>
      <c r="Q208">
        <v>1</v>
      </c>
      <c r="X208">
        <v>0.18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0.18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ROW(Source!A332)</f>
        <v>332</v>
      </c>
      <c r="B209">
        <v>1474089953</v>
      </c>
      <c r="C209">
        <v>1471520555</v>
      </c>
      <c r="D209">
        <v>1441836235</v>
      </c>
      <c r="E209">
        <v>1</v>
      </c>
      <c r="F209">
        <v>1</v>
      </c>
      <c r="G209">
        <v>15514512</v>
      </c>
      <c r="H209">
        <v>3</v>
      </c>
      <c r="I209" t="s">
        <v>388</v>
      </c>
      <c r="J209" t="s">
        <v>389</v>
      </c>
      <c r="K209" t="s">
        <v>390</v>
      </c>
      <c r="L209">
        <v>1346</v>
      </c>
      <c r="N209">
        <v>1009</v>
      </c>
      <c r="O209" t="s">
        <v>368</v>
      </c>
      <c r="P209" t="s">
        <v>368</v>
      </c>
      <c r="Q209">
        <v>1</v>
      </c>
      <c r="X209">
        <v>0.2</v>
      </c>
      <c r="Y209">
        <v>31.49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0.2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ROW(Source!A333)</f>
        <v>333</v>
      </c>
      <c r="B210">
        <v>1474089954</v>
      </c>
      <c r="C210">
        <v>1471520562</v>
      </c>
      <c r="D210">
        <v>1441819193</v>
      </c>
      <c r="E210">
        <v>15514512</v>
      </c>
      <c r="F210">
        <v>1</v>
      </c>
      <c r="G210">
        <v>15514512</v>
      </c>
      <c r="H210">
        <v>1</v>
      </c>
      <c r="I210" t="s">
        <v>355</v>
      </c>
      <c r="J210" t="s">
        <v>3</v>
      </c>
      <c r="K210" t="s">
        <v>356</v>
      </c>
      <c r="L210">
        <v>1191</v>
      </c>
      <c r="N210">
        <v>1013</v>
      </c>
      <c r="O210" t="s">
        <v>357</v>
      </c>
      <c r="P210" t="s">
        <v>357</v>
      </c>
      <c r="Q210">
        <v>1</v>
      </c>
      <c r="X210">
        <v>0.24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1</v>
      </c>
      <c r="AF210" t="s">
        <v>156</v>
      </c>
      <c r="AG210">
        <v>0.72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ROW(Source!A334)</f>
        <v>334</v>
      </c>
      <c r="B211">
        <v>1474089955</v>
      </c>
      <c r="C211">
        <v>1471520566</v>
      </c>
      <c r="D211">
        <v>1441819193</v>
      </c>
      <c r="E211">
        <v>15514512</v>
      </c>
      <c r="F211">
        <v>1</v>
      </c>
      <c r="G211">
        <v>15514512</v>
      </c>
      <c r="H211">
        <v>1</v>
      </c>
      <c r="I211" t="s">
        <v>355</v>
      </c>
      <c r="J211" t="s">
        <v>3</v>
      </c>
      <c r="K211" t="s">
        <v>356</v>
      </c>
      <c r="L211">
        <v>1191</v>
      </c>
      <c r="N211">
        <v>1013</v>
      </c>
      <c r="O211" t="s">
        <v>357</v>
      </c>
      <c r="P211" t="s">
        <v>357</v>
      </c>
      <c r="Q211">
        <v>1</v>
      </c>
      <c r="X211">
        <v>10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1</v>
      </c>
      <c r="AF211" t="s">
        <v>3</v>
      </c>
      <c r="AG211">
        <v>10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ROW(Source!A334)</f>
        <v>334</v>
      </c>
      <c r="B212">
        <v>1474089956</v>
      </c>
      <c r="C212">
        <v>1471520566</v>
      </c>
      <c r="D212">
        <v>1441836237</v>
      </c>
      <c r="E212">
        <v>1</v>
      </c>
      <c r="F212">
        <v>1</v>
      </c>
      <c r="G212">
        <v>15514512</v>
      </c>
      <c r="H212">
        <v>3</v>
      </c>
      <c r="I212" t="s">
        <v>409</v>
      </c>
      <c r="J212" t="s">
        <v>410</v>
      </c>
      <c r="K212" t="s">
        <v>411</v>
      </c>
      <c r="L212">
        <v>1346</v>
      </c>
      <c r="N212">
        <v>1009</v>
      </c>
      <c r="O212" t="s">
        <v>368</v>
      </c>
      <c r="P212" t="s">
        <v>368</v>
      </c>
      <c r="Q212">
        <v>1</v>
      </c>
      <c r="X212">
        <v>0.06</v>
      </c>
      <c r="Y212">
        <v>375.16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0.06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ROW(Source!A335)</f>
        <v>335</v>
      </c>
      <c r="B213">
        <v>1474089957</v>
      </c>
      <c r="C213">
        <v>1471520573</v>
      </c>
      <c r="D213">
        <v>1441819193</v>
      </c>
      <c r="E213">
        <v>15514512</v>
      </c>
      <c r="F213">
        <v>1</v>
      </c>
      <c r="G213">
        <v>15514512</v>
      </c>
      <c r="H213">
        <v>1</v>
      </c>
      <c r="I213" t="s">
        <v>355</v>
      </c>
      <c r="J213" t="s">
        <v>3</v>
      </c>
      <c r="K213" t="s">
        <v>356</v>
      </c>
      <c r="L213">
        <v>1191</v>
      </c>
      <c r="N213">
        <v>1013</v>
      </c>
      <c r="O213" t="s">
        <v>357</v>
      </c>
      <c r="P213" t="s">
        <v>357</v>
      </c>
      <c r="Q213">
        <v>1</v>
      </c>
      <c r="X213">
        <v>0.33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1</v>
      </c>
      <c r="AF213" t="s">
        <v>3</v>
      </c>
      <c r="AG213">
        <v>0.33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ROW(Source!A336)</f>
        <v>336</v>
      </c>
      <c r="B214">
        <v>1474089958</v>
      </c>
      <c r="C214">
        <v>1471520577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355</v>
      </c>
      <c r="J214" t="s">
        <v>3</v>
      </c>
      <c r="K214" t="s">
        <v>356</v>
      </c>
      <c r="L214">
        <v>1191</v>
      </c>
      <c r="N214">
        <v>1013</v>
      </c>
      <c r="O214" t="s">
        <v>357</v>
      </c>
      <c r="P214" t="s">
        <v>357</v>
      </c>
      <c r="Q214">
        <v>1</v>
      </c>
      <c r="X214">
        <v>10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1</v>
      </c>
      <c r="AF214" t="s">
        <v>3</v>
      </c>
      <c r="AG214">
        <v>10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ROW(Source!A336)</f>
        <v>336</v>
      </c>
      <c r="B215">
        <v>1474089959</v>
      </c>
      <c r="C215">
        <v>1471520577</v>
      </c>
      <c r="D215">
        <v>1441836237</v>
      </c>
      <c r="E215">
        <v>1</v>
      </c>
      <c r="F215">
        <v>1</v>
      </c>
      <c r="G215">
        <v>15514512</v>
      </c>
      <c r="H215">
        <v>3</v>
      </c>
      <c r="I215" t="s">
        <v>409</v>
      </c>
      <c r="J215" t="s">
        <v>410</v>
      </c>
      <c r="K215" t="s">
        <v>411</v>
      </c>
      <c r="L215">
        <v>1346</v>
      </c>
      <c r="N215">
        <v>1009</v>
      </c>
      <c r="O215" t="s">
        <v>368</v>
      </c>
      <c r="P215" t="s">
        <v>368</v>
      </c>
      <c r="Q215">
        <v>1</v>
      </c>
      <c r="X215">
        <v>0.06</v>
      </c>
      <c r="Y215">
        <v>375.16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0.06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ROW(Source!A337)</f>
        <v>337</v>
      </c>
      <c r="B216">
        <v>1474089960</v>
      </c>
      <c r="C216">
        <v>1471520584</v>
      </c>
      <c r="D216">
        <v>1441819193</v>
      </c>
      <c r="E216">
        <v>15514512</v>
      </c>
      <c r="F216">
        <v>1</v>
      </c>
      <c r="G216">
        <v>15514512</v>
      </c>
      <c r="H216">
        <v>1</v>
      </c>
      <c r="I216" t="s">
        <v>355</v>
      </c>
      <c r="J216" t="s">
        <v>3</v>
      </c>
      <c r="K216" t="s">
        <v>356</v>
      </c>
      <c r="L216">
        <v>1191</v>
      </c>
      <c r="N216">
        <v>1013</v>
      </c>
      <c r="O216" t="s">
        <v>357</v>
      </c>
      <c r="P216" t="s">
        <v>357</v>
      </c>
      <c r="Q216">
        <v>1</v>
      </c>
      <c r="X216">
        <v>0.33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1</v>
      </c>
      <c r="AF216" t="s">
        <v>3</v>
      </c>
      <c r="AG216">
        <v>0.33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ROW(Source!A407)</f>
        <v>407</v>
      </c>
      <c r="B217">
        <v>1474089961</v>
      </c>
      <c r="C217">
        <v>1471520588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355</v>
      </c>
      <c r="J217" t="s">
        <v>3</v>
      </c>
      <c r="K217" t="s">
        <v>356</v>
      </c>
      <c r="L217">
        <v>1191</v>
      </c>
      <c r="N217">
        <v>1013</v>
      </c>
      <c r="O217" t="s">
        <v>357</v>
      </c>
      <c r="P217" t="s">
        <v>357</v>
      </c>
      <c r="Q217">
        <v>1</v>
      </c>
      <c r="X217">
        <v>1.26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1</v>
      </c>
      <c r="AF217" t="s">
        <v>20</v>
      </c>
      <c r="AG217">
        <v>21.42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ROW(Source!A408)</f>
        <v>408</v>
      </c>
      <c r="B218">
        <v>1474089962</v>
      </c>
      <c r="C218">
        <v>1471520592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355</v>
      </c>
      <c r="J218" t="s">
        <v>3</v>
      </c>
      <c r="K218" t="s">
        <v>356</v>
      </c>
      <c r="L218">
        <v>1191</v>
      </c>
      <c r="N218">
        <v>1013</v>
      </c>
      <c r="O218" t="s">
        <v>357</v>
      </c>
      <c r="P218" t="s">
        <v>357</v>
      </c>
      <c r="Q218">
        <v>1</v>
      </c>
      <c r="X218">
        <v>0.23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27</v>
      </c>
      <c r="AG218">
        <v>7.82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ROW(Source!A409)</f>
        <v>409</v>
      </c>
      <c r="B219">
        <v>1474089963</v>
      </c>
      <c r="C219">
        <v>1471520596</v>
      </c>
      <c r="D219">
        <v>1441819193</v>
      </c>
      <c r="E219">
        <v>15514512</v>
      </c>
      <c r="F219">
        <v>1</v>
      </c>
      <c r="G219">
        <v>15514512</v>
      </c>
      <c r="H219">
        <v>1</v>
      </c>
      <c r="I219" t="s">
        <v>355</v>
      </c>
      <c r="J219" t="s">
        <v>3</v>
      </c>
      <c r="K219" t="s">
        <v>356</v>
      </c>
      <c r="L219">
        <v>1191</v>
      </c>
      <c r="N219">
        <v>1013</v>
      </c>
      <c r="O219" t="s">
        <v>357</v>
      </c>
      <c r="P219" t="s">
        <v>357</v>
      </c>
      <c r="Q219">
        <v>1</v>
      </c>
      <c r="X219">
        <v>104.44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3</v>
      </c>
      <c r="AG219">
        <v>104.44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ROW(Source!A409)</f>
        <v>409</v>
      </c>
      <c r="B220">
        <v>1474089964</v>
      </c>
      <c r="C220">
        <v>1471520596</v>
      </c>
      <c r="D220">
        <v>1441834334</v>
      </c>
      <c r="E220">
        <v>1</v>
      </c>
      <c r="F220">
        <v>1</v>
      </c>
      <c r="G220">
        <v>15514512</v>
      </c>
      <c r="H220">
        <v>2</v>
      </c>
      <c r="I220" t="s">
        <v>358</v>
      </c>
      <c r="J220" t="s">
        <v>359</v>
      </c>
      <c r="K220" t="s">
        <v>360</v>
      </c>
      <c r="L220">
        <v>1368</v>
      </c>
      <c r="N220">
        <v>1011</v>
      </c>
      <c r="O220" t="s">
        <v>361</v>
      </c>
      <c r="P220" t="s">
        <v>361</v>
      </c>
      <c r="Q220">
        <v>1</v>
      </c>
      <c r="X220">
        <v>5.8</v>
      </c>
      <c r="Y220">
        <v>0</v>
      </c>
      <c r="Z220">
        <v>10.66</v>
      </c>
      <c r="AA220">
        <v>0.12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5.8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ROW(Source!A409)</f>
        <v>409</v>
      </c>
      <c r="B221">
        <v>1474089966</v>
      </c>
      <c r="C221">
        <v>1471520596</v>
      </c>
      <c r="D221">
        <v>1441834443</v>
      </c>
      <c r="E221">
        <v>1</v>
      </c>
      <c r="F221">
        <v>1</v>
      </c>
      <c r="G221">
        <v>15514512</v>
      </c>
      <c r="H221">
        <v>3</v>
      </c>
      <c r="I221" t="s">
        <v>362</v>
      </c>
      <c r="J221" t="s">
        <v>363</v>
      </c>
      <c r="K221" t="s">
        <v>364</v>
      </c>
      <c r="L221">
        <v>1296</v>
      </c>
      <c r="N221">
        <v>1002</v>
      </c>
      <c r="O221" t="s">
        <v>365</v>
      </c>
      <c r="P221" t="s">
        <v>365</v>
      </c>
      <c r="Q221">
        <v>1</v>
      </c>
      <c r="X221">
        <v>0.31</v>
      </c>
      <c r="Y221">
        <v>785.72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3</v>
      </c>
      <c r="AG221">
        <v>0.31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ROW(Source!A409)</f>
        <v>409</v>
      </c>
      <c r="B222">
        <v>1474089967</v>
      </c>
      <c r="C222">
        <v>1471520596</v>
      </c>
      <c r="D222">
        <v>1441821225</v>
      </c>
      <c r="E222">
        <v>15514512</v>
      </c>
      <c r="F222">
        <v>1</v>
      </c>
      <c r="G222">
        <v>15514512</v>
      </c>
      <c r="H222">
        <v>3</v>
      </c>
      <c r="I222" t="s">
        <v>366</v>
      </c>
      <c r="J222" t="s">
        <v>3</v>
      </c>
      <c r="K222" t="s">
        <v>367</v>
      </c>
      <c r="L222">
        <v>1346</v>
      </c>
      <c r="N222">
        <v>1009</v>
      </c>
      <c r="O222" t="s">
        <v>368</v>
      </c>
      <c r="P222" t="s">
        <v>368</v>
      </c>
      <c r="Q222">
        <v>1</v>
      </c>
      <c r="X222">
        <v>1.08</v>
      </c>
      <c r="Y222">
        <v>292.57515999999998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1.08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ROW(Source!A409)</f>
        <v>409</v>
      </c>
      <c r="B223">
        <v>1474089965</v>
      </c>
      <c r="C223">
        <v>1471520596</v>
      </c>
      <c r="D223">
        <v>1441821223</v>
      </c>
      <c r="E223">
        <v>15514512</v>
      </c>
      <c r="F223">
        <v>1</v>
      </c>
      <c r="G223">
        <v>15514512</v>
      </c>
      <c r="H223">
        <v>3</v>
      </c>
      <c r="I223" t="s">
        <v>369</v>
      </c>
      <c r="J223" t="s">
        <v>3</v>
      </c>
      <c r="K223" t="s">
        <v>370</v>
      </c>
      <c r="L223">
        <v>1346</v>
      </c>
      <c r="N223">
        <v>1009</v>
      </c>
      <c r="O223" t="s">
        <v>368</v>
      </c>
      <c r="P223" t="s">
        <v>368</v>
      </c>
      <c r="Q223">
        <v>1</v>
      </c>
      <c r="X223">
        <v>0.98</v>
      </c>
      <c r="Y223">
        <v>221.4237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0.98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ROW(Source!A410)</f>
        <v>410</v>
      </c>
      <c r="B224">
        <v>1474089968</v>
      </c>
      <c r="C224">
        <v>1471520612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355</v>
      </c>
      <c r="J224" t="s">
        <v>3</v>
      </c>
      <c r="K224" t="s">
        <v>356</v>
      </c>
      <c r="L224">
        <v>1191</v>
      </c>
      <c r="N224">
        <v>1013</v>
      </c>
      <c r="O224" t="s">
        <v>357</v>
      </c>
      <c r="P224" t="s">
        <v>357</v>
      </c>
      <c r="Q224">
        <v>1</v>
      </c>
      <c r="X224">
        <v>151.93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3</v>
      </c>
      <c r="AG224">
        <v>151.93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ROW(Source!A410)</f>
        <v>410</v>
      </c>
      <c r="B225">
        <v>1474089969</v>
      </c>
      <c r="C225">
        <v>1471520612</v>
      </c>
      <c r="D225">
        <v>1441834334</v>
      </c>
      <c r="E225">
        <v>1</v>
      </c>
      <c r="F225">
        <v>1</v>
      </c>
      <c r="G225">
        <v>15514512</v>
      </c>
      <c r="H225">
        <v>2</v>
      </c>
      <c r="I225" t="s">
        <v>358</v>
      </c>
      <c r="J225" t="s">
        <v>359</v>
      </c>
      <c r="K225" t="s">
        <v>360</v>
      </c>
      <c r="L225">
        <v>1368</v>
      </c>
      <c r="N225">
        <v>1011</v>
      </c>
      <c r="O225" t="s">
        <v>361</v>
      </c>
      <c r="P225" t="s">
        <v>361</v>
      </c>
      <c r="Q225">
        <v>1</v>
      </c>
      <c r="X225">
        <v>5.8</v>
      </c>
      <c r="Y225">
        <v>0</v>
      </c>
      <c r="Z225">
        <v>10.66</v>
      </c>
      <c r="AA225">
        <v>0.12</v>
      </c>
      <c r="AB225">
        <v>0</v>
      </c>
      <c r="AC225">
        <v>0</v>
      </c>
      <c r="AD225">
        <v>1</v>
      </c>
      <c r="AE225">
        <v>0</v>
      </c>
      <c r="AF225" t="s">
        <v>3</v>
      </c>
      <c r="AG225">
        <v>5.8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ROW(Source!A410)</f>
        <v>410</v>
      </c>
      <c r="B226">
        <v>1474089971</v>
      </c>
      <c r="C226">
        <v>1471520612</v>
      </c>
      <c r="D226">
        <v>1441834443</v>
      </c>
      <c r="E226">
        <v>1</v>
      </c>
      <c r="F226">
        <v>1</v>
      </c>
      <c r="G226">
        <v>15514512</v>
      </c>
      <c r="H226">
        <v>3</v>
      </c>
      <c r="I226" t="s">
        <v>362</v>
      </c>
      <c r="J226" t="s">
        <v>363</v>
      </c>
      <c r="K226" t="s">
        <v>364</v>
      </c>
      <c r="L226">
        <v>1296</v>
      </c>
      <c r="N226">
        <v>1002</v>
      </c>
      <c r="O226" t="s">
        <v>365</v>
      </c>
      <c r="P226" t="s">
        <v>365</v>
      </c>
      <c r="Q226">
        <v>1</v>
      </c>
      <c r="X226">
        <v>0.31</v>
      </c>
      <c r="Y226">
        <v>785.72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3</v>
      </c>
      <c r="AG226">
        <v>0.31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ROW(Source!A410)</f>
        <v>410</v>
      </c>
      <c r="B227">
        <v>1474089972</v>
      </c>
      <c r="C227">
        <v>1471520612</v>
      </c>
      <c r="D227">
        <v>1441821225</v>
      </c>
      <c r="E227">
        <v>15514512</v>
      </c>
      <c r="F227">
        <v>1</v>
      </c>
      <c r="G227">
        <v>15514512</v>
      </c>
      <c r="H227">
        <v>3</v>
      </c>
      <c r="I227" t="s">
        <v>366</v>
      </c>
      <c r="J227" t="s">
        <v>3</v>
      </c>
      <c r="K227" t="s">
        <v>367</v>
      </c>
      <c r="L227">
        <v>1346</v>
      </c>
      <c r="N227">
        <v>1009</v>
      </c>
      <c r="O227" t="s">
        <v>368</v>
      </c>
      <c r="P227" t="s">
        <v>368</v>
      </c>
      <c r="Q227">
        <v>1</v>
      </c>
      <c r="X227">
        <v>1.08</v>
      </c>
      <c r="Y227">
        <v>292.57515999999998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1.08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ROW(Source!A410)</f>
        <v>410</v>
      </c>
      <c r="B228">
        <v>1474089970</v>
      </c>
      <c r="C228">
        <v>1471520612</v>
      </c>
      <c r="D228">
        <v>1441821223</v>
      </c>
      <c r="E228">
        <v>15514512</v>
      </c>
      <c r="F228">
        <v>1</v>
      </c>
      <c r="G228">
        <v>15514512</v>
      </c>
      <c r="H228">
        <v>3</v>
      </c>
      <c r="I228" t="s">
        <v>369</v>
      </c>
      <c r="J228" t="s">
        <v>3</v>
      </c>
      <c r="K228" t="s">
        <v>370</v>
      </c>
      <c r="L228">
        <v>1346</v>
      </c>
      <c r="N228">
        <v>1009</v>
      </c>
      <c r="O228" t="s">
        <v>368</v>
      </c>
      <c r="P228" t="s">
        <v>368</v>
      </c>
      <c r="Q228">
        <v>1</v>
      </c>
      <c r="X228">
        <v>0.98</v>
      </c>
      <c r="Y228">
        <v>221.4237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0.98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ROW(Source!A411)</f>
        <v>411</v>
      </c>
      <c r="B229">
        <v>1474089973</v>
      </c>
      <c r="C229">
        <v>1471520628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355</v>
      </c>
      <c r="J229" t="s">
        <v>3</v>
      </c>
      <c r="K229" t="s">
        <v>356</v>
      </c>
      <c r="L229">
        <v>1191</v>
      </c>
      <c r="N229">
        <v>1013</v>
      </c>
      <c r="O229" t="s">
        <v>357</v>
      </c>
      <c r="P229" t="s">
        <v>357</v>
      </c>
      <c r="Q229">
        <v>1</v>
      </c>
      <c r="X229">
        <v>0.82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1</v>
      </c>
      <c r="AF229" t="s">
        <v>3</v>
      </c>
      <c r="AG229">
        <v>0.82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ROW(Source!A412)</f>
        <v>412</v>
      </c>
      <c r="B230">
        <v>1474089974</v>
      </c>
      <c r="C230">
        <v>1471520632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355</v>
      </c>
      <c r="J230" t="s">
        <v>3</v>
      </c>
      <c r="K230" t="s">
        <v>356</v>
      </c>
      <c r="L230">
        <v>1191</v>
      </c>
      <c r="N230">
        <v>1013</v>
      </c>
      <c r="O230" t="s">
        <v>357</v>
      </c>
      <c r="P230" t="s">
        <v>357</v>
      </c>
      <c r="Q230">
        <v>1</v>
      </c>
      <c r="X230">
        <v>0.37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3</v>
      </c>
      <c r="AG230">
        <v>0.37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ROW(Source!A412)</f>
        <v>412</v>
      </c>
      <c r="B231">
        <v>1474089975</v>
      </c>
      <c r="C231">
        <v>1471520632</v>
      </c>
      <c r="D231">
        <v>1441834258</v>
      </c>
      <c r="E231">
        <v>1</v>
      </c>
      <c r="F231">
        <v>1</v>
      </c>
      <c r="G231">
        <v>15514512</v>
      </c>
      <c r="H231">
        <v>2</v>
      </c>
      <c r="I231" t="s">
        <v>371</v>
      </c>
      <c r="J231" t="s">
        <v>372</v>
      </c>
      <c r="K231" t="s">
        <v>373</v>
      </c>
      <c r="L231">
        <v>1368</v>
      </c>
      <c r="N231">
        <v>1011</v>
      </c>
      <c r="O231" t="s">
        <v>361</v>
      </c>
      <c r="P231" t="s">
        <v>361</v>
      </c>
      <c r="Q231">
        <v>1</v>
      </c>
      <c r="X231">
        <v>0.06</v>
      </c>
      <c r="Y231">
        <v>0</v>
      </c>
      <c r="Z231">
        <v>1303.01</v>
      </c>
      <c r="AA231">
        <v>826.2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0.06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ROW(Source!A413)</f>
        <v>413</v>
      </c>
      <c r="B232">
        <v>1474089976</v>
      </c>
      <c r="C232">
        <v>1471520639</v>
      </c>
      <c r="D232">
        <v>1441819193</v>
      </c>
      <c r="E232">
        <v>15514512</v>
      </c>
      <c r="F232">
        <v>1</v>
      </c>
      <c r="G232">
        <v>15514512</v>
      </c>
      <c r="H232">
        <v>1</v>
      </c>
      <c r="I232" t="s">
        <v>355</v>
      </c>
      <c r="J232" t="s">
        <v>3</v>
      </c>
      <c r="K232" t="s">
        <v>356</v>
      </c>
      <c r="L232">
        <v>1191</v>
      </c>
      <c r="N232">
        <v>1013</v>
      </c>
      <c r="O232" t="s">
        <v>357</v>
      </c>
      <c r="P232" t="s">
        <v>357</v>
      </c>
      <c r="Q232">
        <v>1</v>
      </c>
      <c r="X232">
        <v>26.7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1</v>
      </c>
      <c r="AF232" t="s">
        <v>3</v>
      </c>
      <c r="AG232">
        <v>26.7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ROW(Source!A414)</f>
        <v>414</v>
      </c>
      <c r="B233">
        <v>1474089977</v>
      </c>
      <c r="C233">
        <v>1471520643</v>
      </c>
      <c r="D233">
        <v>1441819193</v>
      </c>
      <c r="E233">
        <v>15514512</v>
      </c>
      <c r="F233">
        <v>1</v>
      </c>
      <c r="G233">
        <v>15514512</v>
      </c>
      <c r="H233">
        <v>1</v>
      </c>
      <c r="I233" t="s">
        <v>355</v>
      </c>
      <c r="J233" t="s">
        <v>3</v>
      </c>
      <c r="K233" t="s">
        <v>356</v>
      </c>
      <c r="L233">
        <v>1191</v>
      </c>
      <c r="N233">
        <v>1013</v>
      </c>
      <c r="O233" t="s">
        <v>357</v>
      </c>
      <c r="P233" t="s">
        <v>357</v>
      </c>
      <c r="Q233">
        <v>1</v>
      </c>
      <c r="X233">
        <v>28.02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3</v>
      </c>
      <c r="AG233">
        <v>28.02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ROW(Source!A414)</f>
        <v>414</v>
      </c>
      <c r="B234">
        <v>1474089978</v>
      </c>
      <c r="C234">
        <v>1471520643</v>
      </c>
      <c r="D234">
        <v>1441834443</v>
      </c>
      <c r="E234">
        <v>1</v>
      </c>
      <c r="F234">
        <v>1</v>
      </c>
      <c r="G234">
        <v>15514512</v>
      </c>
      <c r="H234">
        <v>3</v>
      </c>
      <c r="I234" t="s">
        <v>362</v>
      </c>
      <c r="J234" t="s">
        <v>363</v>
      </c>
      <c r="K234" t="s">
        <v>364</v>
      </c>
      <c r="L234">
        <v>1296</v>
      </c>
      <c r="N234">
        <v>1002</v>
      </c>
      <c r="O234" t="s">
        <v>365</v>
      </c>
      <c r="P234" t="s">
        <v>365</v>
      </c>
      <c r="Q234">
        <v>1</v>
      </c>
      <c r="X234">
        <v>0.31</v>
      </c>
      <c r="Y234">
        <v>785.72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0.31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ROW(Source!A415)</f>
        <v>415</v>
      </c>
      <c r="B235">
        <v>1474089979</v>
      </c>
      <c r="C235">
        <v>1471520650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355</v>
      </c>
      <c r="J235" t="s">
        <v>3</v>
      </c>
      <c r="K235" t="s">
        <v>356</v>
      </c>
      <c r="L235">
        <v>1191</v>
      </c>
      <c r="N235">
        <v>1013</v>
      </c>
      <c r="O235" t="s">
        <v>357</v>
      </c>
      <c r="P235" t="s">
        <v>357</v>
      </c>
      <c r="Q235">
        <v>1</v>
      </c>
      <c r="X235">
        <v>0.13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57</v>
      </c>
      <c r="AG235">
        <v>0.52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ROW(Source!A416)</f>
        <v>416</v>
      </c>
      <c r="B236">
        <v>1474089980</v>
      </c>
      <c r="C236">
        <v>1471520654</v>
      </c>
      <c r="D236">
        <v>1441819193</v>
      </c>
      <c r="E236">
        <v>15514512</v>
      </c>
      <c r="F236">
        <v>1</v>
      </c>
      <c r="G236">
        <v>15514512</v>
      </c>
      <c r="H236">
        <v>1</v>
      </c>
      <c r="I236" t="s">
        <v>355</v>
      </c>
      <c r="J236" t="s">
        <v>3</v>
      </c>
      <c r="K236" t="s">
        <v>356</v>
      </c>
      <c r="L236">
        <v>1191</v>
      </c>
      <c r="N236">
        <v>1013</v>
      </c>
      <c r="O236" t="s">
        <v>357</v>
      </c>
      <c r="P236" t="s">
        <v>357</v>
      </c>
      <c r="Q236">
        <v>1</v>
      </c>
      <c r="X236">
        <v>29.54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3</v>
      </c>
      <c r="AG236">
        <v>29.54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ROW(Source!A416)</f>
        <v>416</v>
      </c>
      <c r="B237">
        <v>1474089981</v>
      </c>
      <c r="C237">
        <v>1471520654</v>
      </c>
      <c r="D237">
        <v>1441835469</v>
      </c>
      <c r="E237">
        <v>1</v>
      </c>
      <c r="F237">
        <v>1</v>
      </c>
      <c r="G237">
        <v>15514512</v>
      </c>
      <c r="H237">
        <v>3</v>
      </c>
      <c r="I237" t="s">
        <v>374</v>
      </c>
      <c r="J237" t="s">
        <v>375</v>
      </c>
      <c r="K237" t="s">
        <v>376</v>
      </c>
      <c r="L237">
        <v>1348</v>
      </c>
      <c r="N237">
        <v>1009</v>
      </c>
      <c r="O237" t="s">
        <v>377</v>
      </c>
      <c r="P237" t="s">
        <v>377</v>
      </c>
      <c r="Q237">
        <v>1000</v>
      </c>
      <c r="X237">
        <v>5.0000000000000001E-3</v>
      </c>
      <c r="Y237">
        <v>163237.26999999999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5.0000000000000001E-3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ROW(Source!A416)</f>
        <v>416</v>
      </c>
      <c r="B238">
        <v>1474089982</v>
      </c>
      <c r="C238">
        <v>1471520654</v>
      </c>
      <c r="D238">
        <v>1441836514</v>
      </c>
      <c r="E238">
        <v>1</v>
      </c>
      <c r="F238">
        <v>1</v>
      </c>
      <c r="G238">
        <v>15514512</v>
      </c>
      <c r="H238">
        <v>3</v>
      </c>
      <c r="I238" t="s">
        <v>378</v>
      </c>
      <c r="J238" t="s">
        <v>379</v>
      </c>
      <c r="K238" t="s">
        <v>380</v>
      </c>
      <c r="L238">
        <v>1339</v>
      </c>
      <c r="N238">
        <v>1007</v>
      </c>
      <c r="O238" t="s">
        <v>381</v>
      </c>
      <c r="P238" t="s">
        <v>381</v>
      </c>
      <c r="Q238">
        <v>1</v>
      </c>
      <c r="X238">
        <v>7.8</v>
      </c>
      <c r="Y238">
        <v>54.81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7.8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ROW(Source!A416)</f>
        <v>416</v>
      </c>
      <c r="B239">
        <v>1474089983</v>
      </c>
      <c r="C239">
        <v>1471520654</v>
      </c>
      <c r="D239">
        <v>1441847238</v>
      </c>
      <c r="E239">
        <v>1</v>
      </c>
      <c r="F239">
        <v>1</v>
      </c>
      <c r="G239">
        <v>15514512</v>
      </c>
      <c r="H239">
        <v>3</v>
      </c>
      <c r="I239" t="s">
        <v>382</v>
      </c>
      <c r="J239" t="s">
        <v>383</v>
      </c>
      <c r="K239" t="s">
        <v>384</v>
      </c>
      <c r="L239">
        <v>1346</v>
      </c>
      <c r="N239">
        <v>1009</v>
      </c>
      <c r="O239" t="s">
        <v>368</v>
      </c>
      <c r="P239" t="s">
        <v>368</v>
      </c>
      <c r="Q239">
        <v>1</v>
      </c>
      <c r="X239">
        <v>2</v>
      </c>
      <c r="Y239">
        <v>742.26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2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ROW(Source!A417)</f>
        <v>417</v>
      </c>
      <c r="B240">
        <v>1474089984</v>
      </c>
      <c r="C240">
        <v>1471520667</v>
      </c>
      <c r="D240">
        <v>1441819193</v>
      </c>
      <c r="E240">
        <v>15514512</v>
      </c>
      <c r="F240">
        <v>1</v>
      </c>
      <c r="G240">
        <v>15514512</v>
      </c>
      <c r="H240">
        <v>1</v>
      </c>
      <c r="I240" t="s">
        <v>355</v>
      </c>
      <c r="J240" t="s">
        <v>3</v>
      </c>
      <c r="K240" t="s">
        <v>356</v>
      </c>
      <c r="L240">
        <v>1191</v>
      </c>
      <c r="N240">
        <v>1013</v>
      </c>
      <c r="O240" t="s">
        <v>357</v>
      </c>
      <c r="P240" t="s">
        <v>357</v>
      </c>
      <c r="Q240">
        <v>1</v>
      </c>
      <c r="X240">
        <v>2.04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1</v>
      </c>
      <c r="AF240" t="s">
        <v>3</v>
      </c>
      <c r="AG240">
        <v>2.04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ROW(Source!A418)</f>
        <v>418</v>
      </c>
      <c r="B241">
        <v>1474089985</v>
      </c>
      <c r="C241">
        <v>1471520671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355</v>
      </c>
      <c r="J241" t="s">
        <v>3</v>
      </c>
      <c r="K241" t="s">
        <v>356</v>
      </c>
      <c r="L241">
        <v>1191</v>
      </c>
      <c r="N241">
        <v>1013</v>
      </c>
      <c r="O241" t="s">
        <v>357</v>
      </c>
      <c r="P241" t="s">
        <v>357</v>
      </c>
      <c r="Q241">
        <v>1</v>
      </c>
      <c r="X241">
        <v>0.9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69</v>
      </c>
      <c r="AG241">
        <v>7.2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ROW(Source!A419)</f>
        <v>419</v>
      </c>
      <c r="B242">
        <v>1474089986</v>
      </c>
      <c r="C242">
        <v>1471520683</v>
      </c>
      <c r="D242">
        <v>1441819193</v>
      </c>
      <c r="E242">
        <v>15514512</v>
      </c>
      <c r="F242">
        <v>1</v>
      </c>
      <c r="G242">
        <v>15514512</v>
      </c>
      <c r="H242">
        <v>1</v>
      </c>
      <c r="I242" t="s">
        <v>355</v>
      </c>
      <c r="J242" t="s">
        <v>3</v>
      </c>
      <c r="K242" t="s">
        <v>356</v>
      </c>
      <c r="L242">
        <v>1191</v>
      </c>
      <c r="N242">
        <v>1013</v>
      </c>
      <c r="O242" t="s">
        <v>357</v>
      </c>
      <c r="P242" t="s">
        <v>357</v>
      </c>
      <c r="Q242">
        <v>1</v>
      </c>
      <c r="X242">
        <v>4.84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1</v>
      </c>
      <c r="AF242" t="s">
        <v>69</v>
      </c>
      <c r="AG242">
        <v>38.72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ROW(Source!A420)</f>
        <v>420</v>
      </c>
      <c r="B243">
        <v>1474089987</v>
      </c>
      <c r="C243">
        <v>1471520687</v>
      </c>
      <c r="D243">
        <v>1441819193</v>
      </c>
      <c r="E243">
        <v>15514512</v>
      </c>
      <c r="F243">
        <v>1</v>
      </c>
      <c r="G243">
        <v>15514512</v>
      </c>
      <c r="H243">
        <v>1</v>
      </c>
      <c r="I243" t="s">
        <v>355</v>
      </c>
      <c r="J243" t="s">
        <v>3</v>
      </c>
      <c r="K243" t="s">
        <v>356</v>
      </c>
      <c r="L243">
        <v>1191</v>
      </c>
      <c r="N243">
        <v>1013</v>
      </c>
      <c r="O243" t="s">
        <v>357</v>
      </c>
      <c r="P243" t="s">
        <v>357</v>
      </c>
      <c r="Q243">
        <v>1</v>
      </c>
      <c r="X243">
        <v>0.37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1</v>
      </c>
      <c r="AF243" t="s">
        <v>253</v>
      </c>
      <c r="AG243">
        <v>0.74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ROW(Source!A420)</f>
        <v>420</v>
      </c>
      <c r="B244">
        <v>1474089988</v>
      </c>
      <c r="C244">
        <v>1471520687</v>
      </c>
      <c r="D244">
        <v>1441834258</v>
      </c>
      <c r="E244">
        <v>1</v>
      </c>
      <c r="F244">
        <v>1</v>
      </c>
      <c r="G244">
        <v>15514512</v>
      </c>
      <c r="H244">
        <v>2</v>
      </c>
      <c r="I244" t="s">
        <v>371</v>
      </c>
      <c r="J244" t="s">
        <v>372</v>
      </c>
      <c r="K244" t="s">
        <v>373</v>
      </c>
      <c r="L244">
        <v>1368</v>
      </c>
      <c r="N244">
        <v>1011</v>
      </c>
      <c r="O244" t="s">
        <v>361</v>
      </c>
      <c r="P244" t="s">
        <v>361</v>
      </c>
      <c r="Q244">
        <v>1</v>
      </c>
      <c r="X244">
        <v>0.06</v>
      </c>
      <c r="Y244">
        <v>0</v>
      </c>
      <c r="Z244">
        <v>1303.01</v>
      </c>
      <c r="AA244">
        <v>826.2</v>
      </c>
      <c r="AB244">
        <v>0</v>
      </c>
      <c r="AC244">
        <v>0</v>
      </c>
      <c r="AD244">
        <v>1</v>
      </c>
      <c r="AE244">
        <v>0</v>
      </c>
      <c r="AF244" t="s">
        <v>253</v>
      </c>
      <c r="AG244">
        <v>0.12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ROW(Source!A421)</f>
        <v>421</v>
      </c>
      <c r="B245">
        <v>1474089989</v>
      </c>
      <c r="C245">
        <v>1471520694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355</v>
      </c>
      <c r="J245" t="s">
        <v>3</v>
      </c>
      <c r="K245" t="s">
        <v>356</v>
      </c>
      <c r="L245">
        <v>1191</v>
      </c>
      <c r="N245">
        <v>1013</v>
      </c>
      <c r="O245" t="s">
        <v>357</v>
      </c>
      <c r="P245" t="s">
        <v>357</v>
      </c>
      <c r="Q245">
        <v>1</v>
      </c>
      <c r="X245">
        <v>0.61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253</v>
      </c>
      <c r="AG245">
        <v>1.22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ROW(Source!A422)</f>
        <v>422</v>
      </c>
      <c r="B246">
        <v>1474089990</v>
      </c>
      <c r="C246">
        <v>1471520698</v>
      </c>
      <c r="D246">
        <v>1441819193</v>
      </c>
      <c r="E246">
        <v>15514512</v>
      </c>
      <c r="F246">
        <v>1</v>
      </c>
      <c r="G246">
        <v>15514512</v>
      </c>
      <c r="H246">
        <v>1</v>
      </c>
      <c r="I246" t="s">
        <v>355</v>
      </c>
      <c r="J246" t="s">
        <v>3</v>
      </c>
      <c r="K246" t="s">
        <v>356</v>
      </c>
      <c r="L246">
        <v>1191</v>
      </c>
      <c r="N246">
        <v>1013</v>
      </c>
      <c r="O246" t="s">
        <v>357</v>
      </c>
      <c r="P246" t="s">
        <v>357</v>
      </c>
      <c r="Q246">
        <v>1</v>
      </c>
      <c r="X246">
        <v>13.9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82</v>
      </c>
      <c r="AG246">
        <v>3405.5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ROW(Source!A422)</f>
        <v>422</v>
      </c>
      <c r="B247">
        <v>1474089991</v>
      </c>
      <c r="C247">
        <v>1471520698</v>
      </c>
      <c r="D247">
        <v>1441836372</v>
      </c>
      <c r="E247">
        <v>1</v>
      </c>
      <c r="F247">
        <v>1</v>
      </c>
      <c r="G247">
        <v>15514512</v>
      </c>
      <c r="H247">
        <v>3</v>
      </c>
      <c r="I247" t="s">
        <v>385</v>
      </c>
      <c r="J247" t="s">
        <v>386</v>
      </c>
      <c r="K247" t="s">
        <v>387</v>
      </c>
      <c r="L247">
        <v>1296</v>
      </c>
      <c r="N247">
        <v>1002</v>
      </c>
      <c r="O247" t="s">
        <v>365</v>
      </c>
      <c r="P247" t="s">
        <v>365</v>
      </c>
      <c r="Q247">
        <v>1</v>
      </c>
      <c r="X247">
        <v>0.5</v>
      </c>
      <c r="Y247">
        <v>111.42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82</v>
      </c>
      <c r="AG247">
        <v>122.5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ROW(Source!A422)</f>
        <v>422</v>
      </c>
      <c r="B248">
        <v>1474089992</v>
      </c>
      <c r="C248">
        <v>1471520698</v>
      </c>
      <c r="D248">
        <v>1441836514</v>
      </c>
      <c r="E248">
        <v>1</v>
      </c>
      <c r="F248">
        <v>1</v>
      </c>
      <c r="G248">
        <v>15514512</v>
      </c>
      <c r="H248">
        <v>3</v>
      </c>
      <c r="I248" t="s">
        <v>378</v>
      </c>
      <c r="J248" t="s">
        <v>379</v>
      </c>
      <c r="K248" t="s">
        <v>380</v>
      </c>
      <c r="L248">
        <v>1339</v>
      </c>
      <c r="N248">
        <v>1007</v>
      </c>
      <c r="O248" t="s">
        <v>381</v>
      </c>
      <c r="P248" t="s">
        <v>381</v>
      </c>
      <c r="Q248">
        <v>1</v>
      </c>
      <c r="X248">
        <v>0.01</v>
      </c>
      <c r="Y248">
        <v>54.81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82</v>
      </c>
      <c r="AG248">
        <v>2.4500000000000002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ROW(Source!A423)</f>
        <v>423</v>
      </c>
      <c r="B249">
        <v>1474089993</v>
      </c>
      <c r="C249">
        <v>1471520708</v>
      </c>
      <c r="D249">
        <v>1441819193</v>
      </c>
      <c r="E249">
        <v>15514512</v>
      </c>
      <c r="F249">
        <v>1</v>
      </c>
      <c r="G249">
        <v>15514512</v>
      </c>
      <c r="H249">
        <v>1</v>
      </c>
      <c r="I249" t="s">
        <v>355</v>
      </c>
      <c r="J249" t="s">
        <v>3</v>
      </c>
      <c r="K249" t="s">
        <v>356</v>
      </c>
      <c r="L249">
        <v>1191</v>
      </c>
      <c r="N249">
        <v>1013</v>
      </c>
      <c r="O249" t="s">
        <v>357</v>
      </c>
      <c r="P249" t="s">
        <v>357</v>
      </c>
      <c r="Q249">
        <v>1</v>
      </c>
      <c r="X249">
        <v>8.15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1</v>
      </c>
      <c r="AF249" t="s">
        <v>82</v>
      </c>
      <c r="AG249">
        <v>1996.75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ROW(Source!A423)</f>
        <v>423</v>
      </c>
      <c r="B250">
        <v>1474089994</v>
      </c>
      <c r="C250">
        <v>1471520708</v>
      </c>
      <c r="D250">
        <v>1441836372</v>
      </c>
      <c r="E250">
        <v>1</v>
      </c>
      <c r="F250">
        <v>1</v>
      </c>
      <c r="G250">
        <v>15514512</v>
      </c>
      <c r="H250">
        <v>3</v>
      </c>
      <c r="I250" t="s">
        <v>385</v>
      </c>
      <c r="J250" t="s">
        <v>386</v>
      </c>
      <c r="K250" t="s">
        <v>387</v>
      </c>
      <c r="L250">
        <v>1296</v>
      </c>
      <c r="N250">
        <v>1002</v>
      </c>
      <c r="O250" t="s">
        <v>365</v>
      </c>
      <c r="P250" t="s">
        <v>365</v>
      </c>
      <c r="Q250">
        <v>1</v>
      </c>
      <c r="X250">
        <v>0.5</v>
      </c>
      <c r="Y250">
        <v>111.42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82</v>
      </c>
      <c r="AG250">
        <v>122.5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ROW(Source!A423)</f>
        <v>423</v>
      </c>
      <c r="B251">
        <v>1474089995</v>
      </c>
      <c r="C251">
        <v>1471520708</v>
      </c>
      <c r="D251">
        <v>1441836514</v>
      </c>
      <c r="E251">
        <v>1</v>
      </c>
      <c r="F251">
        <v>1</v>
      </c>
      <c r="G251">
        <v>15514512</v>
      </c>
      <c r="H251">
        <v>3</v>
      </c>
      <c r="I251" t="s">
        <v>378</v>
      </c>
      <c r="J251" t="s">
        <v>379</v>
      </c>
      <c r="K251" t="s">
        <v>380</v>
      </c>
      <c r="L251">
        <v>1339</v>
      </c>
      <c r="N251">
        <v>1007</v>
      </c>
      <c r="O251" t="s">
        <v>381</v>
      </c>
      <c r="P251" t="s">
        <v>381</v>
      </c>
      <c r="Q251">
        <v>1</v>
      </c>
      <c r="X251">
        <v>0.01</v>
      </c>
      <c r="Y251">
        <v>54.81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82</v>
      </c>
      <c r="AG251">
        <v>2.4500000000000002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ROW(Source!A424)</f>
        <v>424</v>
      </c>
      <c r="B252">
        <v>1474089996</v>
      </c>
      <c r="C252">
        <v>1471520718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355</v>
      </c>
      <c r="J252" t="s">
        <v>3</v>
      </c>
      <c r="K252" t="s">
        <v>356</v>
      </c>
      <c r="L252">
        <v>1191</v>
      </c>
      <c r="N252">
        <v>1013</v>
      </c>
      <c r="O252" t="s">
        <v>357</v>
      </c>
      <c r="P252" t="s">
        <v>357</v>
      </c>
      <c r="Q252">
        <v>1</v>
      </c>
      <c r="X252">
        <v>8.15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82</v>
      </c>
      <c r="AG252">
        <v>1996.75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ROW(Source!A424)</f>
        <v>424</v>
      </c>
      <c r="B253">
        <v>1474089997</v>
      </c>
      <c r="C253">
        <v>1471520718</v>
      </c>
      <c r="D253">
        <v>1441836372</v>
      </c>
      <c r="E253">
        <v>1</v>
      </c>
      <c r="F253">
        <v>1</v>
      </c>
      <c r="G253">
        <v>15514512</v>
      </c>
      <c r="H253">
        <v>3</v>
      </c>
      <c r="I253" t="s">
        <v>385</v>
      </c>
      <c r="J253" t="s">
        <v>386</v>
      </c>
      <c r="K253" t="s">
        <v>387</v>
      </c>
      <c r="L253">
        <v>1296</v>
      </c>
      <c r="N253">
        <v>1002</v>
      </c>
      <c r="O253" t="s">
        <v>365</v>
      </c>
      <c r="P253" t="s">
        <v>365</v>
      </c>
      <c r="Q253">
        <v>1</v>
      </c>
      <c r="X253">
        <v>0.5</v>
      </c>
      <c r="Y253">
        <v>111.42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82</v>
      </c>
      <c r="AG253">
        <v>122.5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ROW(Source!A424)</f>
        <v>424</v>
      </c>
      <c r="B254">
        <v>1474089998</v>
      </c>
      <c r="C254">
        <v>1471520718</v>
      </c>
      <c r="D254">
        <v>1441836514</v>
      </c>
      <c r="E254">
        <v>1</v>
      </c>
      <c r="F254">
        <v>1</v>
      </c>
      <c r="G254">
        <v>15514512</v>
      </c>
      <c r="H254">
        <v>3</v>
      </c>
      <c r="I254" t="s">
        <v>378</v>
      </c>
      <c r="J254" t="s">
        <v>379</v>
      </c>
      <c r="K254" t="s">
        <v>380</v>
      </c>
      <c r="L254">
        <v>1339</v>
      </c>
      <c r="N254">
        <v>1007</v>
      </c>
      <c r="O254" t="s">
        <v>381</v>
      </c>
      <c r="P254" t="s">
        <v>381</v>
      </c>
      <c r="Q254">
        <v>1</v>
      </c>
      <c r="X254">
        <v>0.01</v>
      </c>
      <c r="Y254">
        <v>54.81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82</v>
      </c>
      <c r="AG254">
        <v>2.4500000000000002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ROW(Source!A460)</f>
        <v>460</v>
      </c>
      <c r="B255">
        <v>1474089999</v>
      </c>
      <c r="C255">
        <v>1471520728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355</v>
      </c>
      <c r="J255" t="s">
        <v>3</v>
      </c>
      <c r="K255" t="s">
        <v>356</v>
      </c>
      <c r="L255">
        <v>1191</v>
      </c>
      <c r="N255">
        <v>1013</v>
      </c>
      <c r="O255" t="s">
        <v>357</v>
      </c>
      <c r="P255" t="s">
        <v>357</v>
      </c>
      <c r="Q255">
        <v>1</v>
      </c>
      <c r="X255">
        <v>1.75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</v>
      </c>
      <c r="AG255">
        <v>1.75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ROW(Source!A460)</f>
        <v>460</v>
      </c>
      <c r="B256">
        <v>1474090000</v>
      </c>
      <c r="C256">
        <v>1471520728</v>
      </c>
      <c r="D256">
        <v>1441834258</v>
      </c>
      <c r="E256">
        <v>1</v>
      </c>
      <c r="F256">
        <v>1</v>
      </c>
      <c r="G256">
        <v>15514512</v>
      </c>
      <c r="H256">
        <v>2</v>
      </c>
      <c r="I256" t="s">
        <v>371</v>
      </c>
      <c r="J256" t="s">
        <v>372</v>
      </c>
      <c r="K256" t="s">
        <v>373</v>
      </c>
      <c r="L256">
        <v>1368</v>
      </c>
      <c r="N256">
        <v>1011</v>
      </c>
      <c r="O256" t="s">
        <v>361</v>
      </c>
      <c r="P256" t="s">
        <v>361</v>
      </c>
      <c r="Q256">
        <v>1</v>
      </c>
      <c r="X256">
        <v>1.083</v>
      </c>
      <c r="Y256">
        <v>0</v>
      </c>
      <c r="Z256">
        <v>1303.01</v>
      </c>
      <c r="AA256">
        <v>826.2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1.083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ROW(Source!A460)</f>
        <v>460</v>
      </c>
      <c r="B257">
        <v>1474090001</v>
      </c>
      <c r="C257">
        <v>1471520728</v>
      </c>
      <c r="D257">
        <v>1441836235</v>
      </c>
      <c r="E257">
        <v>1</v>
      </c>
      <c r="F257">
        <v>1</v>
      </c>
      <c r="G257">
        <v>15514512</v>
      </c>
      <c r="H257">
        <v>3</v>
      </c>
      <c r="I257" t="s">
        <v>388</v>
      </c>
      <c r="J257" t="s">
        <v>389</v>
      </c>
      <c r="K257" t="s">
        <v>390</v>
      </c>
      <c r="L257">
        <v>1346</v>
      </c>
      <c r="N257">
        <v>1009</v>
      </c>
      <c r="O257" t="s">
        <v>368</v>
      </c>
      <c r="P257" t="s">
        <v>368</v>
      </c>
      <c r="Q257">
        <v>1</v>
      </c>
      <c r="X257">
        <v>0.02</v>
      </c>
      <c r="Y257">
        <v>31.49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0.02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ROW(Source!A461)</f>
        <v>461</v>
      </c>
      <c r="B258">
        <v>1474090002</v>
      </c>
      <c r="C258">
        <v>1471520741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355</v>
      </c>
      <c r="J258" t="s">
        <v>3</v>
      </c>
      <c r="K258" t="s">
        <v>356</v>
      </c>
      <c r="L258">
        <v>1191</v>
      </c>
      <c r="N258">
        <v>1013</v>
      </c>
      <c r="O258" t="s">
        <v>357</v>
      </c>
      <c r="P258" t="s">
        <v>357</v>
      </c>
      <c r="Q258">
        <v>1</v>
      </c>
      <c r="X258">
        <v>5.7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3</v>
      </c>
      <c r="AG258">
        <v>5.7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ROW(Source!A461)</f>
        <v>461</v>
      </c>
      <c r="B259">
        <v>1474090003</v>
      </c>
      <c r="C259">
        <v>1471520741</v>
      </c>
      <c r="D259">
        <v>1441833662</v>
      </c>
      <c r="E259">
        <v>1</v>
      </c>
      <c r="F259">
        <v>1</v>
      </c>
      <c r="G259">
        <v>15514512</v>
      </c>
      <c r="H259">
        <v>2</v>
      </c>
      <c r="I259" t="s">
        <v>391</v>
      </c>
      <c r="J259" t="s">
        <v>392</v>
      </c>
      <c r="K259" t="s">
        <v>393</v>
      </c>
      <c r="L259">
        <v>1368</v>
      </c>
      <c r="N259">
        <v>1011</v>
      </c>
      <c r="O259" t="s">
        <v>361</v>
      </c>
      <c r="P259" t="s">
        <v>361</v>
      </c>
      <c r="Q259">
        <v>1</v>
      </c>
      <c r="X259">
        <v>0.6</v>
      </c>
      <c r="Y259">
        <v>0</v>
      </c>
      <c r="Z259">
        <v>44.21</v>
      </c>
      <c r="AA259">
        <v>1.89</v>
      </c>
      <c r="AB259">
        <v>0</v>
      </c>
      <c r="AC259">
        <v>0</v>
      </c>
      <c r="AD259">
        <v>1</v>
      </c>
      <c r="AE259">
        <v>0</v>
      </c>
      <c r="AF259" t="s">
        <v>3</v>
      </c>
      <c r="AG259">
        <v>0.6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ROW(Source!A461)</f>
        <v>461</v>
      </c>
      <c r="B260">
        <v>1474090004</v>
      </c>
      <c r="C260">
        <v>1471520741</v>
      </c>
      <c r="D260">
        <v>1441836235</v>
      </c>
      <c r="E260">
        <v>1</v>
      </c>
      <c r="F260">
        <v>1</v>
      </c>
      <c r="G260">
        <v>15514512</v>
      </c>
      <c r="H260">
        <v>3</v>
      </c>
      <c r="I260" t="s">
        <v>388</v>
      </c>
      <c r="J260" t="s">
        <v>389</v>
      </c>
      <c r="K260" t="s">
        <v>390</v>
      </c>
      <c r="L260">
        <v>1346</v>
      </c>
      <c r="N260">
        <v>1009</v>
      </c>
      <c r="O260" t="s">
        <v>368</v>
      </c>
      <c r="P260" t="s">
        <v>368</v>
      </c>
      <c r="Q260">
        <v>1</v>
      </c>
      <c r="X260">
        <v>2</v>
      </c>
      <c r="Y260">
        <v>31.49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2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ROW(Source!A461)</f>
        <v>461</v>
      </c>
      <c r="B261">
        <v>1474090005</v>
      </c>
      <c r="C261">
        <v>1471520741</v>
      </c>
      <c r="D261">
        <v>1441836912</v>
      </c>
      <c r="E261">
        <v>1</v>
      </c>
      <c r="F261">
        <v>1</v>
      </c>
      <c r="G261">
        <v>15514512</v>
      </c>
      <c r="H261">
        <v>3</v>
      </c>
      <c r="I261" t="s">
        <v>394</v>
      </c>
      <c r="J261" t="s">
        <v>395</v>
      </c>
      <c r="K261" t="s">
        <v>396</v>
      </c>
      <c r="L261">
        <v>1354</v>
      </c>
      <c r="N261">
        <v>16987630</v>
      </c>
      <c r="O261" t="s">
        <v>39</v>
      </c>
      <c r="P261" t="s">
        <v>39</v>
      </c>
      <c r="Q261">
        <v>1</v>
      </c>
      <c r="X261">
        <v>1</v>
      </c>
      <c r="Y261">
        <v>27.52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1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ROW(Source!A461)</f>
        <v>461</v>
      </c>
      <c r="B262">
        <v>1474090006</v>
      </c>
      <c r="C262">
        <v>1471520741</v>
      </c>
      <c r="D262">
        <v>1441834654</v>
      </c>
      <c r="E262">
        <v>1</v>
      </c>
      <c r="F262">
        <v>1</v>
      </c>
      <c r="G262">
        <v>15514512</v>
      </c>
      <c r="H262">
        <v>3</v>
      </c>
      <c r="I262" t="s">
        <v>397</v>
      </c>
      <c r="J262" t="s">
        <v>398</v>
      </c>
      <c r="K262" t="s">
        <v>399</v>
      </c>
      <c r="L262">
        <v>1296</v>
      </c>
      <c r="N262">
        <v>1002</v>
      </c>
      <c r="O262" t="s">
        <v>365</v>
      </c>
      <c r="P262" t="s">
        <v>365</v>
      </c>
      <c r="Q262">
        <v>1</v>
      </c>
      <c r="X262">
        <v>2</v>
      </c>
      <c r="Y262">
        <v>2895.42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2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ROW(Source!A462)</f>
        <v>462</v>
      </c>
      <c r="B263">
        <v>1474090007</v>
      </c>
      <c r="C263">
        <v>1471520758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355</v>
      </c>
      <c r="J263" t="s">
        <v>3</v>
      </c>
      <c r="K263" t="s">
        <v>356</v>
      </c>
      <c r="L263">
        <v>1191</v>
      </c>
      <c r="N263">
        <v>1013</v>
      </c>
      <c r="O263" t="s">
        <v>357</v>
      </c>
      <c r="P263" t="s">
        <v>357</v>
      </c>
      <c r="Q263">
        <v>1</v>
      </c>
      <c r="X263">
        <v>16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156</v>
      </c>
      <c r="AG263">
        <v>48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ROW(Source!A462)</f>
        <v>462</v>
      </c>
      <c r="B264">
        <v>1474090008</v>
      </c>
      <c r="C264">
        <v>1471520758</v>
      </c>
      <c r="D264">
        <v>1441836235</v>
      </c>
      <c r="E264">
        <v>1</v>
      </c>
      <c r="F264">
        <v>1</v>
      </c>
      <c r="G264">
        <v>15514512</v>
      </c>
      <c r="H264">
        <v>3</v>
      </c>
      <c r="I264" t="s">
        <v>388</v>
      </c>
      <c r="J264" t="s">
        <v>389</v>
      </c>
      <c r="K264" t="s">
        <v>390</v>
      </c>
      <c r="L264">
        <v>1346</v>
      </c>
      <c r="N264">
        <v>1009</v>
      </c>
      <c r="O264" t="s">
        <v>368</v>
      </c>
      <c r="P264" t="s">
        <v>368</v>
      </c>
      <c r="Q264">
        <v>1</v>
      </c>
      <c r="X264">
        <v>0.3</v>
      </c>
      <c r="Y264">
        <v>31.49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156</v>
      </c>
      <c r="AG264">
        <v>0.89999999999999991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ROW(Source!A462)</f>
        <v>462</v>
      </c>
      <c r="B265">
        <v>1474090009</v>
      </c>
      <c r="C265">
        <v>1471520758</v>
      </c>
      <c r="D265">
        <v>1441834654</v>
      </c>
      <c r="E265">
        <v>1</v>
      </c>
      <c r="F265">
        <v>1</v>
      </c>
      <c r="G265">
        <v>15514512</v>
      </c>
      <c r="H265">
        <v>3</v>
      </c>
      <c r="I265" t="s">
        <v>397</v>
      </c>
      <c r="J265" t="s">
        <v>398</v>
      </c>
      <c r="K265" t="s">
        <v>399</v>
      </c>
      <c r="L265">
        <v>1296</v>
      </c>
      <c r="N265">
        <v>1002</v>
      </c>
      <c r="O265" t="s">
        <v>365</v>
      </c>
      <c r="P265" t="s">
        <v>365</v>
      </c>
      <c r="Q265">
        <v>1</v>
      </c>
      <c r="X265">
        <v>2</v>
      </c>
      <c r="Y265">
        <v>2895.42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156</v>
      </c>
      <c r="AG265">
        <v>6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ROW(Source!A462)</f>
        <v>462</v>
      </c>
      <c r="B266">
        <v>1474090010</v>
      </c>
      <c r="C266">
        <v>1471520758</v>
      </c>
      <c r="D266">
        <v>1441834667</v>
      </c>
      <c r="E266">
        <v>1</v>
      </c>
      <c r="F266">
        <v>1</v>
      </c>
      <c r="G266">
        <v>15514512</v>
      </c>
      <c r="H266">
        <v>3</v>
      </c>
      <c r="I266" t="s">
        <v>403</v>
      </c>
      <c r="J266" t="s">
        <v>404</v>
      </c>
      <c r="K266" t="s">
        <v>405</v>
      </c>
      <c r="L266">
        <v>1346</v>
      </c>
      <c r="N266">
        <v>1009</v>
      </c>
      <c r="O266" t="s">
        <v>368</v>
      </c>
      <c r="P266" t="s">
        <v>368</v>
      </c>
      <c r="Q266">
        <v>1</v>
      </c>
      <c r="X266">
        <v>0.2</v>
      </c>
      <c r="Y266">
        <v>197.72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156</v>
      </c>
      <c r="AG266">
        <v>0.60000000000000009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ROW(Source!A462)</f>
        <v>462</v>
      </c>
      <c r="B267">
        <v>1474090011</v>
      </c>
      <c r="C267">
        <v>1471520758</v>
      </c>
      <c r="D267">
        <v>1441834896</v>
      </c>
      <c r="E267">
        <v>1</v>
      </c>
      <c r="F267">
        <v>1</v>
      </c>
      <c r="G267">
        <v>15514512</v>
      </c>
      <c r="H267">
        <v>3</v>
      </c>
      <c r="I267" t="s">
        <v>406</v>
      </c>
      <c r="J267" t="s">
        <v>407</v>
      </c>
      <c r="K267" t="s">
        <v>408</v>
      </c>
      <c r="L267">
        <v>1348</v>
      </c>
      <c r="N267">
        <v>1009</v>
      </c>
      <c r="O267" t="s">
        <v>377</v>
      </c>
      <c r="P267" t="s">
        <v>377</v>
      </c>
      <c r="Q267">
        <v>1000</v>
      </c>
      <c r="X267">
        <v>1.1E-4</v>
      </c>
      <c r="Y267">
        <v>70975.399999999994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156</v>
      </c>
      <c r="AG267">
        <v>3.3E-4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ROW(Source!A463)</f>
        <v>463</v>
      </c>
      <c r="B268">
        <v>1474090012</v>
      </c>
      <c r="C268">
        <v>1471520774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355</v>
      </c>
      <c r="J268" t="s">
        <v>3</v>
      </c>
      <c r="K268" t="s">
        <v>356</v>
      </c>
      <c r="L268">
        <v>1191</v>
      </c>
      <c r="N268">
        <v>1013</v>
      </c>
      <c r="O268" t="s">
        <v>357</v>
      </c>
      <c r="P268" t="s">
        <v>357</v>
      </c>
      <c r="Q268">
        <v>1</v>
      </c>
      <c r="X268">
        <v>9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152</v>
      </c>
      <c r="AG268">
        <v>45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ROW(Source!A463)</f>
        <v>463</v>
      </c>
      <c r="B269">
        <v>1474090013</v>
      </c>
      <c r="C269">
        <v>1471520774</v>
      </c>
      <c r="D269">
        <v>1441836235</v>
      </c>
      <c r="E269">
        <v>1</v>
      </c>
      <c r="F269">
        <v>1</v>
      </c>
      <c r="G269">
        <v>15514512</v>
      </c>
      <c r="H269">
        <v>3</v>
      </c>
      <c r="I269" t="s">
        <v>388</v>
      </c>
      <c r="J269" t="s">
        <v>389</v>
      </c>
      <c r="K269" t="s">
        <v>390</v>
      </c>
      <c r="L269">
        <v>1346</v>
      </c>
      <c r="N269">
        <v>1009</v>
      </c>
      <c r="O269" t="s">
        <v>368</v>
      </c>
      <c r="P269" t="s">
        <v>368</v>
      </c>
      <c r="Q269">
        <v>1</v>
      </c>
      <c r="X269">
        <v>0.3</v>
      </c>
      <c r="Y269">
        <v>31.49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152</v>
      </c>
      <c r="AG269">
        <v>1.5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ROW(Source!A464)</f>
        <v>464</v>
      </c>
      <c r="B270">
        <v>1474090014</v>
      </c>
      <c r="C270">
        <v>1471520841</v>
      </c>
      <c r="D270">
        <v>1441819193</v>
      </c>
      <c r="E270">
        <v>15514512</v>
      </c>
      <c r="F270">
        <v>1</v>
      </c>
      <c r="G270">
        <v>15514512</v>
      </c>
      <c r="H270">
        <v>1</v>
      </c>
      <c r="I270" t="s">
        <v>355</v>
      </c>
      <c r="J270" t="s">
        <v>3</v>
      </c>
      <c r="K270" t="s">
        <v>356</v>
      </c>
      <c r="L270">
        <v>1191</v>
      </c>
      <c r="N270">
        <v>1013</v>
      </c>
      <c r="O270" t="s">
        <v>357</v>
      </c>
      <c r="P270" t="s">
        <v>357</v>
      </c>
      <c r="Q270">
        <v>1</v>
      </c>
      <c r="X270">
        <v>0.57999999999999996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1</v>
      </c>
      <c r="AF270" t="s">
        <v>3</v>
      </c>
      <c r="AG270">
        <v>0.57999999999999996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ROW(Source!A464)</f>
        <v>464</v>
      </c>
      <c r="B271">
        <v>1474090015</v>
      </c>
      <c r="C271">
        <v>1471520841</v>
      </c>
      <c r="D271">
        <v>1441836235</v>
      </c>
      <c r="E271">
        <v>1</v>
      </c>
      <c r="F271">
        <v>1</v>
      </c>
      <c r="G271">
        <v>15514512</v>
      </c>
      <c r="H271">
        <v>3</v>
      </c>
      <c r="I271" t="s">
        <v>388</v>
      </c>
      <c r="J271" t="s">
        <v>389</v>
      </c>
      <c r="K271" t="s">
        <v>390</v>
      </c>
      <c r="L271">
        <v>1346</v>
      </c>
      <c r="N271">
        <v>1009</v>
      </c>
      <c r="O271" t="s">
        <v>368</v>
      </c>
      <c r="P271" t="s">
        <v>368</v>
      </c>
      <c r="Q271">
        <v>1</v>
      </c>
      <c r="X271">
        <v>0.02</v>
      </c>
      <c r="Y271">
        <v>31.49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0.02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ROW(Source!A465)</f>
        <v>465</v>
      </c>
      <c r="B272">
        <v>1474090016</v>
      </c>
      <c r="C272">
        <v>1471520848</v>
      </c>
      <c r="D272">
        <v>1441819193</v>
      </c>
      <c r="E272">
        <v>15514512</v>
      </c>
      <c r="F272">
        <v>1</v>
      </c>
      <c r="G272">
        <v>15514512</v>
      </c>
      <c r="H272">
        <v>1</v>
      </c>
      <c r="I272" t="s">
        <v>355</v>
      </c>
      <c r="J272" t="s">
        <v>3</v>
      </c>
      <c r="K272" t="s">
        <v>356</v>
      </c>
      <c r="L272">
        <v>1191</v>
      </c>
      <c r="N272">
        <v>1013</v>
      </c>
      <c r="O272" t="s">
        <v>357</v>
      </c>
      <c r="P272" t="s">
        <v>357</v>
      </c>
      <c r="Q272">
        <v>1</v>
      </c>
      <c r="X272">
        <v>0.37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1</v>
      </c>
      <c r="AF272" t="s">
        <v>3</v>
      </c>
      <c r="AG272">
        <v>0.37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ROW(Source!A465)</f>
        <v>465</v>
      </c>
      <c r="B273">
        <v>1474090017</v>
      </c>
      <c r="C273">
        <v>1471520848</v>
      </c>
      <c r="D273">
        <v>1441834258</v>
      </c>
      <c r="E273">
        <v>1</v>
      </c>
      <c r="F273">
        <v>1</v>
      </c>
      <c r="G273">
        <v>15514512</v>
      </c>
      <c r="H273">
        <v>2</v>
      </c>
      <c r="I273" t="s">
        <v>371</v>
      </c>
      <c r="J273" t="s">
        <v>372</v>
      </c>
      <c r="K273" t="s">
        <v>373</v>
      </c>
      <c r="L273">
        <v>1368</v>
      </c>
      <c r="N273">
        <v>1011</v>
      </c>
      <c r="O273" t="s">
        <v>361</v>
      </c>
      <c r="P273" t="s">
        <v>361</v>
      </c>
      <c r="Q273">
        <v>1</v>
      </c>
      <c r="X273">
        <v>0.06</v>
      </c>
      <c r="Y273">
        <v>0</v>
      </c>
      <c r="Z273">
        <v>1303.01</v>
      </c>
      <c r="AA273">
        <v>826.2</v>
      </c>
      <c r="AB273">
        <v>0</v>
      </c>
      <c r="AC273">
        <v>0</v>
      </c>
      <c r="AD273">
        <v>1</v>
      </c>
      <c r="AE273">
        <v>0</v>
      </c>
      <c r="AF273" t="s">
        <v>3</v>
      </c>
      <c r="AG273">
        <v>0.06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ROW(Source!A466)</f>
        <v>466</v>
      </c>
      <c r="B274">
        <v>1474090018</v>
      </c>
      <c r="C274">
        <v>1471520916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355</v>
      </c>
      <c r="J274" t="s">
        <v>3</v>
      </c>
      <c r="K274" t="s">
        <v>356</v>
      </c>
      <c r="L274">
        <v>1191</v>
      </c>
      <c r="N274">
        <v>1013</v>
      </c>
      <c r="O274" t="s">
        <v>357</v>
      </c>
      <c r="P274" t="s">
        <v>357</v>
      </c>
      <c r="Q274">
        <v>1</v>
      </c>
      <c r="X274">
        <v>0.34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156</v>
      </c>
      <c r="AG274">
        <v>1.02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ROW(Source!A467)</f>
        <v>467</v>
      </c>
      <c r="B275">
        <v>1474090019</v>
      </c>
      <c r="C275">
        <v>1471521036</v>
      </c>
      <c r="D275">
        <v>1441819193</v>
      </c>
      <c r="E275">
        <v>15514512</v>
      </c>
      <c r="F275">
        <v>1</v>
      </c>
      <c r="G275">
        <v>15514512</v>
      </c>
      <c r="H275">
        <v>1</v>
      </c>
      <c r="I275" t="s">
        <v>355</v>
      </c>
      <c r="J275" t="s">
        <v>3</v>
      </c>
      <c r="K275" t="s">
        <v>356</v>
      </c>
      <c r="L275">
        <v>1191</v>
      </c>
      <c r="N275">
        <v>1013</v>
      </c>
      <c r="O275" t="s">
        <v>357</v>
      </c>
      <c r="P275" t="s">
        <v>357</v>
      </c>
      <c r="Q275">
        <v>1</v>
      </c>
      <c r="X275">
        <v>5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1</v>
      </c>
      <c r="AF275" t="s">
        <v>3</v>
      </c>
      <c r="AG275">
        <v>5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ROW(Source!A467)</f>
        <v>467</v>
      </c>
      <c r="B276">
        <v>1474090020</v>
      </c>
      <c r="C276">
        <v>1471521036</v>
      </c>
      <c r="D276">
        <v>1441836235</v>
      </c>
      <c r="E276">
        <v>1</v>
      </c>
      <c r="F276">
        <v>1</v>
      </c>
      <c r="G276">
        <v>15514512</v>
      </c>
      <c r="H276">
        <v>3</v>
      </c>
      <c r="I276" t="s">
        <v>388</v>
      </c>
      <c r="J276" t="s">
        <v>389</v>
      </c>
      <c r="K276" t="s">
        <v>390</v>
      </c>
      <c r="L276">
        <v>1346</v>
      </c>
      <c r="N276">
        <v>1009</v>
      </c>
      <c r="O276" t="s">
        <v>368</v>
      </c>
      <c r="P276" t="s">
        <v>368</v>
      </c>
      <c r="Q276">
        <v>1</v>
      </c>
      <c r="X276">
        <v>0.1</v>
      </c>
      <c r="Y276">
        <v>31.49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0.1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ROW(Source!A467)</f>
        <v>467</v>
      </c>
      <c r="B277">
        <v>1474090021</v>
      </c>
      <c r="C277">
        <v>1471521036</v>
      </c>
      <c r="D277">
        <v>1441834706</v>
      </c>
      <c r="E277">
        <v>1</v>
      </c>
      <c r="F277">
        <v>1</v>
      </c>
      <c r="G277">
        <v>15514512</v>
      </c>
      <c r="H277">
        <v>3</v>
      </c>
      <c r="I277" t="s">
        <v>400</v>
      </c>
      <c r="J277" t="s">
        <v>401</v>
      </c>
      <c r="K277" t="s">
        <v>402</v>
      </c>
      <c r="L277">
        <v>1296</v>
      </c>
      <c r="N277">
        <v>1002</v>
      </c>
      <c r="O277" t="s">
        <v>365</v>
      </c>
      <c r="P277" t="s">
        <v>365</v>
      </c>
      <c r="Q277">
        <v>1</v>
      </c>
      <c r="X277">
        <v>1.7999999999999999E-2</v>
      </c>
      <c r="Y277">
        <v>7110.99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1.7999999999999999E-2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ROW(Source!A503)</f>
        <v>503</v>
      </c>
      <c r="B278">
        <v>1474090022</v>
      </c>
      <c r="C278">
        <v>1471521190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355</v>
      </c>
      <c r="J278" t="s">
        <v>3</v>
      </c>
      <c r="K278" t="s">
        <v>356</v>
      </c>
      <c r="L278">
        <v>1191</v>
      </c>
      <c r="N278">
        <v>1013</v>
      </c>
      <c r="O278" t="s">
        <v>357</v>
      </c>
      <c r="P278" t="s">
        <v>357</v>
      </c>
      <c r="Q278">
        <v>1</v>
      </c>
      <c r="X278">
        <v>24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3</v>
      </c>
      <c r="AG278">
        <v>24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ROW(Source!A503)</f>
        <v>503</v>
      </c>
      <c r="B279">
        <v>1474090024</v>
      </c>
      <c r="C279">
        <v>1471521190</v>
      </c>
      <c r="D279">
        <v>1441836237</v>
      </c>
      <c r="E279">
        <v>1</v>
      </c>
      <c r="F279">
        <v>1</v>
      </c>
      <c r="G279">
        <v>15514512</v>
      </c>
      <c r="H279">
        <v>3</v>
      </c>
      <c r="I279" t="s">
        <v>409</v>
      </c>
      <c r="J279" t="s">
        <v>410</v>
      </c>
      <c r="K279" t="s">
        <v>411</v>
      </c>
      <c r="L279">
        <v>1346</v>
      </c>
      <c r="N279">
        <v>1009</v>
      </c>
      <c r="O279" t="s">
        <v>368</v>
      </c>
      <c r="P279" t="s">
        <v>368</v>
      </c>
      <c r="Q279">
        <v>1</v>
      </c>
      <c r="X279">
        <v>0.48</v>
      </c>
      <c r="Y279">
        <v>375.16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0.48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ROW(Source!A503)</f>
        <v>503</v>
      </c>
      <c r="B280">
        <v>1474090025</v>
      </c>
      <c r="C280">
        <v>1471521190</v>
      </c>
      <c r="D280">
        <v>1441836235</v>
      </c>
      <c r="E280">
        <v>1</v>
      </c>
      <c r="F280">
        <v>1</v>
      </c>
      <c r="G280">
        <v>15514512</v>
      </c>
      <c r="H280">
        <v>3</v>
      </c>
      <c r="I280" t="s">
        <v>388</v>
      </c>
      <c r="J280" t="s">
        <v>389</v>
      </c>
      <c r="K280" t="s">
        <v>390</v>
      </c>
      <c r="L280">
        <v>1346</v>
      </c>
      <c r="N280">
        <v>1009</v>
      </c>
      <c r="O280" t="s">
        <v>368</v>
      </c>
      <c r="P280" t="s">
        <v>368</v>
      </c>
      <c r="Q280">
        <v>1</v>
      </c>
      <c r="X280">
        <v>0.14000000000000001</v>
      </c>
      <c r="Y280">
        <v>31.49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0.14000000000000001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ROW(Source!A503)</f>
        <v>503</v>
      </c>
      <c r="B281">
        <v>1474090023</v>
      </c>
      <c r="C281">
        <v>1471521190</v>
      </c>
      <c r="D281">
        <v>1441822228</v>
      </c>
      <c r="E281">
        <v>15514512</v>
      </c>
      <c r="F281">
        <v>1</v>
      </c>
      <c r="G281">
        <v>15514512</v>
      </c>
      <c r="H281">
        <v>3</v>
      </c>
      <c r="I281" t="s">
        <v>412</v>
      </c>
      <c r="J281" t="s">
        <v>3</v>
      </c>
      <c r="K281" t="s">
        <v>413</v>
      </c>
      <c r="L281">
        <v>1346</v>
      </c>
      <c r="N281">
        <v>1009</v>
      </c>
      <c r="O281" t="s">
        <v>368</v>
      </c>
      <c r="P281" t="s">
        <v>368</v>
      </c>
      <c r="Q281">
        <v>1</v>
      </c>
      <c r="X281">
        <v>0.14000000000000001</v>
      </c>
      <c r="Y281">
        <v>73.951729999999998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0.14000000000000001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ROW(Source!A503)</f>
        <v>503</v>
      </c>
      <c r="B282">
        <v>1474090026</v>
      </c>
      <c r="C282">
        <v>1471521190</v>
      </c>
      <c r="D282">
        <v>1441834920</v>
      </c>
      <c r="E282">
        <v>1</v>
      </c>
      <c r="F282">
        <v>1</v>
      </c>
      <c r="G282">
        <v>15514512</v>
      </c>
      <c r="H282">
        <v>3</v>
      </c>
      <c r="I282" t="s">
        <v>414</v>
      </c>
      <c r="J282" t="s">
        <v>415</v>
      </c>
      <c r="K282" t="s">
        <v>416</v>
      </c>
      <c r="L282">
        <v>1346</v>
      </c>
      <c r="N282">
        <v>1009</v>
      </c>
      <c r="O282" t="s">
        <v>368</v>
      </c>
      <c r="P282" t="s">
        <v>368</v>
      </c>
      <c r="Q282">
        <v>1</v>
      </c>
      <c r="X282">
        <v>0.1</v>
      </c>
      <c r="Y282">
        <v>106.87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0.1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ROW(Source!A504)</f>
        <v>504</v>
      </c>
      <c r="B283">
        <v>1474090027</v>
      </c>
      <c r="C283">
        <v>1471521372</v>
      </c>
      <c r="D283">
        <v>1441819193</v>
      </c>
      <c r="E283">
        <v>15514512</v>
      </c>
      <c r="F283">
        <v>1</v>
      </c>
      <c r="G283">
        <v>15514512</v>
      </c>
      <c r="H283">
        <v>1</v>
      </c>
      <c r="I283" t="s">
        <v>355</v>
      </c>
      <c r="J283" t="s">
        <v>3</v>
      </c>
      <c r="K283" t="s">
        <v>356</v>
      </c>
      <c r="L283">
        <v>1191</v>
      </c>
      <c r="N283">
        <v>1013</v>
      </c>
      <c r="O283" t="s">
        <v>357</v>
      </c>
      <c r="P283" t="s">
        <v>357</v>
      </c>
      <c r="Q283">
        <v>1</v>
      </c>
      <c r="X283">
        <v>0.8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1</v>
      </c>
      <c r="AF283" t="s">
        <v>156</v>
      </c>
      <c r="AG283">
        <v>2.4000000000000004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ROW(Source!A504)</f>
        <v>504</v>
      </c>
      <c r="B284">
        <v>1474090028</v>
      </c>
      <c r="C284">
        <v>1471521372</v>
      </c>
      <c r="D284">
        <v>1441822228</v>
      </c>
      <c r="E284">
        <v>15514512</v>
      </c>
      <c r="F284">
        <v>1</v>
      </c>
      <c r="G284">
        <v>15514512</v>
      </c>
      <c r="H284">
        <v>3</v>
      </c>
      <c r="I284" t="s">
        <v>412</v>
      </c>
      <c r="J284" t="s">
        <v>3</v>
      </c>
      <c r="K284" t="s">
        <v>413</v>
      </c>
      <c r="L284">
        <v>1346</v>
      </c>
      <c r="N284">
        <v>1009</v>
      </c>
      <c r="O284" t="s">
        <v>368</v>
      </c>
      <c r="P284" t="s">
        <v>368</v>
      </c>
      <c r="Q284">
        <v>1</v>
      </c>
      <c r="X284">
        <v>0.01</v>
      </c>
      <c r="Y284">
        <v>73.951729999999998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156</v>
      </c>
      <c r="AG284">
        <v>0.03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ROW(Source!A505)</f>
        <v>505</v>
      </c>
      <c r="B285">
        <v>1474090029</v>
      </c>
      <c r="C285">
        <v>1471521475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355</v>
      </c>
      <c r="J285" t="s">
        <v>3</v>
      </c>
      <c r="K285" t="s">
        <v>356</v>
      </c>
      <c r="L285">
        <v>1191</v>
      </c>
      <c r="N285">
        <v>1013</v>
      </c>
      <c r="O285" t="s">
        <v>357</v>
      </c>
      <c r="P285" t="s">
        <v>357</v>
      </c>
      <c r="Q285">
        <v>1</v>
      </c>
      <c r="X285">
        <v>1.59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3</v>
      </c>
      <c r="AG285">
        <v>1.59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ROW(Source!A505)</f>
        <v>505</v>
      </c>
      <c r="B286">
        <v>1474090030</v>
      </c>
      <c r="C286">
        <v>1471521475</v>
      </c>
      <c r="D286">
        <v>1441836235</v>
      </c>
      <c r="E286">
        <v>1</v>
      </c>
      <c r="F286">
        <v>1</v>
      </c>
      <c r="G286">
        <v>15514512</v>
      </c>
      <c r="H286">
        <v>3</v>
      </c>
      <c r="I286" t="s">
        <v>388</v>
      </c>
      <c r="J286" t="s">
        <v>389</v>
      </c>
      <c r="K286" t="s">
        <v>390</v>
      </c>
      <c r="L286">
        <v>1346</v>
      </c>
      <c r="N286">
        <v>1009</v>
      </c>
      <c r="O286" t="s">
        <v>368</v>
      </c>
      <c r="P286" t="s">
        <v>368</v>
      </c>
      <c r="Q286">
        <v>1</v>
      </c>
      <c r="X286">
        <v>0.01</v>
      </c>
      <c r="Y286">
        <v>31.49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</v>
      </c>
      <c r="AG286">
        <v>0.01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ROW(Source!A506)</f>
        <v>506</v>
      </c>
      <c r="B287">
        <v>1474090031</v>
      </c>
      <c r="C287">
        <v>1471521482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355</v>
      </c>
      <c r="J287" t="s">
        <v>3</v>
      </c>
      <c r="K287" t="s">
        <v>356</v>
      </c>
      <c r="L287">
        <v>1191</v>
      </c>
      <c r="N287">
        <v>1013</v>
      </c>
      <c r="O287" t="s">
        <v>357</v>
      </c>
      <c r="P287" t="s">
        <v>357</v>
      </c>
      <c r="Q287">
        <v>1</v>
      </c>
      <c r="X287">
        <v>0.14000000000000001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3</v>
      </c>
      <c r="AG287">
        <v>0.14000000000000001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ROW(Source!A506)</f>
        <v>506</v>
      </c>
      <c r="B288">
        <v>1474090032</v>
      </c>
      <c r="C288">
        <v>1471521482</v>
      </c>
      <c r="D288">
        <v>1441834213</v>
      </c>
      <c r="E288">
        <v>1</v>
      </c>
      <c r="F288">
        <v>1</v>
      </c>
      <c r="G288">
        <v>15514512</v>
      </c>
      <c r="H288">
        <v>2</v>
      </c>
      <c r="I288" t="s">
        <v>417</v>
      </c>
      <c r="J288" t="s">
        <v>418</v>
      </c>
      <c r="K288" t="s">
        <v>419</v>
      </c>
      <c r="L288">
        <v>1368</v>
      </c>
      <c r="N288">
        <v>1011</v>
      </c>
      <c r="O288" t="s">
        <v>361</v>
      </c>
      <c r="P288" t="s">
        <v>361</v>
      </c>
      <c r="Q288">
        <v>1</v>
      </c>
      <c r="X288">
        <v>0.03</v>
      </c>
      <c r="Y288">
        <v>0</v>
      </c>
      <c r="Z288">
        <v>7.68</v>
      </c>
      <c r="AA288">
        <v>0.05</v>
      </c>
      <c r="AB288">
        <v>0</v>
      </c>
      <c r="AC288">
        <v>0</v>
      </c>
      <c r="AD288">
        <v>1</v>
      </c>
      <c r="AE288">
        <v>0</v>
      </c>
      <c r="AF288" t="s">
        <v>3</v>
      </c>
      <c r="AG288">
        <v>0.03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ROW(Source!A506)</f>
        <v>506</v>
      </c>
      <c r="B289">
        <v>1474090033</v>
      </c>
      <c r="C289">
        <v>1471521482</v>
      </c>
      <c r="D289">
        <v>1441836235</v>
      </c>
      <c r="E289">
        <v>1</v>
      </c>
      <c r="F289">
        <v>1</v>
      </c>
      <c r="G289">
        <v>15514512</v>
      </c>
      <c r="H289">
        <v>3</v>
      </c>
      <c r="I289" t="s">
        <v>388</v>
      </c>
      <c r="J289" t="s">
        <v>389</v>
      </c>
      <c r="K289" t="s">
        <v>390</v>
      </c>
      <c r="L289">
        <v>1346</v>
      </c>
      <c r="N289">
        <v>1009</v>
      </c>
      <c r="O289" t="s">
        <v>368</v>
      </c>
      <c r="P289" t="s">
        <v>368</v>
      </c>
      <c r="Q289">
        <v>1</v>
      </c>
      <c r="X289">
        <v>7.0000000000000007E-2</v>
      </c>
      <c r="Y289">
        <v>31.49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3</v>
      </c>
      <c r="AG289">
        <v>7.0000000000000007E-2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ROW(Source!A507)</f>
        <v>507</v>
      </c>
      <c r="B290">
        <v>1474090034</v>
      </c>
      <c r="C290">
        <v>1471521495</v>
      </c>
      <c r="D290">
        <v>1441819193</v>
      </c>
      <c r="E290">
        <v>15514512</v>
      </c>
      <c r="F290">
        <v>1</v>
      </c>
      <c r="G290">
        <v>15514512</v>
      </c>
      <c r="H290">
        <v>1</v>
      </c>
      <c r="I290" t="s">
        <v>355</v>
      </c>
      <c r="J290" t="s">
        <v>3</v>
      </c>
      <c r="K290" t="s">
        <v>356</v>
      </c>
      <c r="L290">
        <v>1191</v>
      </c>
      <c r="N290">
        <v>1013</v>
      </c>
      <c r="O290" t="s">
        <v>357</v>
      </c>
      <c r="P290" t="s">
        <v>357</v>
      </c>
      <c r="Q290">
        <v>1</v>
      </c>
      <c r="X290">
        <v>0.41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156</v>
      </c>
      <c r="AG290">
        <v>1.23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ROW(Source!A508)</f>
        <v>508</v>
      </c>
      <c r="B291">
        <v>1474090035</v>
      </c>
      <c r="C291">
        <v>1471521500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355</v>
      </c>
      <c r="J291" t="s">
        <v>3</v>
      </c>
      <c r="K291" t="s">
        <v>356</v>
      </c>
      <c r="L291">
        <v>1191</v>
      </c>
      <c r="N291">
        <v>1013</v>
      </c>
      <c r="O291" t="s">
        <v>357</v>
      </c>
      <c r="P291" t="s">
        <v>357</v>
      </c>
      <c r="Q291">
        <v>1</v>
      </c>
      <c r="X291">
        <v>1.84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1.84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ROW(Source!A508)</f>
        <v>508</v>
      </c>
      <c r="B292">
        <v>1474090036</v>
      </c>
      <c r="C292">
        <v>1471521500</v>
      </c>
      <c r="D292">
        <v>1441833954</v>
      </c>
      <c r="E292">
        <v>1</v>
      </c>
      <c r="F292">
        <v>1</v>
      </c>
      <c r="G292">
        <v>15514512</v>
      </c>
      <c r="H292">
        <v>2</v>
      </c>
      <c r="I292" t="s">
        <v>425</v>
      </c>
      <c r="J292" t="s">
        <v>426</v>
      </c>
      <c r="K292" t="s">
        <v>427</v>
      </c>
      <c r="L292">
        <v>1368</v>
      </c>
      <c r="N292">
        <v>1011</v>
      </c>
      <c r="O292" t="s">
        <v>361</v>
      </c>
      <c r="P292" t="s">
        <v>361</v>
      </c>
      <c r="Q292">
        <v>1</v>
      </c>
      <c r="X292">
        <v>6.88E-2</v>
      </c>
      <c r="Y292">
        <v>0</v>
      </c>
      <c r="Z292">
        <v>59.51</v>
      </c>
      <c r="AA292">
        <v>0.82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6.88E-2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ROW(Source!A508)</f>
        <v>508</v>
      </c>
      <c r="B293">
        <v>1474090037</v>
      </c>
      <c r="C293">
        <v>1471521500</v>
      </c>
      <c r="D293">
        <v>1441836235</v>
      </c>
      <c r="E293">
        <v>1</v>
      </c>
      <c r="F293">
        <v>1</v>
      </c>
      <c r="G293">
        <v>15514512</v>
      </c>
      <c r="H293">
        <v>3</v>
      </c>
      <c r="I293" t="s">
        <v>388</v>
      </c>
      <c r="J293" t="s">
        <v>389</v>
      </c>
      <c r="K293" t="s">
        <v>390</v>
      </c>
      <c r="L293">
        <v>1346</v>
      </c>
      <c r="N293">
        <v>1009</v>
      </c>
      <c r="O293" t="s">
        <v>368</v>
      </c>
      <c r="P293" t="s">
        <v>368</v>
      </c>
      <c r="Q293">
        <v>1</v>
      </c>
      <c r="X293">
        <v>5.2999999999999999E-2</v>
      </c>
      <c r="Y293">
        <v>31.49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5.2999999999999999E-2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ROW(Source!A509)</f>
        <v>509</v>
      </c>
      <c r="B294">
        <v>1474090038</v>
      </c>
      <c r="C294">
        <v>1471521511</v>
      </c>
      <c r="D294">
        <v>1441819193</v>
      </c>
      <c r="E294">
        <v>15514512</v>
      </c>
      <c r="F294">
        <v>1</v>
      </c>
      <c r="G294">
        <v>15514512</v>
      </c>
      <c r="H294">
        <v>1</v>
      </c>
      <c r="I294" t="s">
        <v>355</v>
      </c>
      <c r="J294" t="s">
        <v>3</v>
      </c>
      <c r="K294" t="s">
        <v>356</v>
      </c>
      <c r="L294">
        <v>1191</v>
      </c>
      <c r="N294">
        <v>1013</v>
      </c>
      <c r="O294" t="s">
        <v>357</v>
      </c>
      <c r="P294" t="s">
        <v>357</v>
      </c>
      <c r="Q294">
        <v>1</v>
      </c>
      <c r="X294">
        <v>1.84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3</v>
      </c>
      <c r="AG294">
        <v>1.84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ROW(Source!A509)</f>
        <v>509</v>
      </c>
      <c r="B295">
        <v>1474090039</v>
      </c>
      <c r="C295">
        <v>1471521511</v>
      </c>
      <c r="D295">
        <v>1441833954</v>
      </c>
      <c r="E295">
        <v>1</v>
      </c>
      <c r="F295">
        <v>1</v>
      </c>
      <c r="G295">
        <v>15514512</v>
      </c>
      <c r="H295">
        <v>2</v>
      </c>
      <c r="I295" t="s">
        <v>425</v>
      </c>
      <c r="J295" t="s">
        <v>426</v>
      </c>
      <c r="K295" t="s">
        <v>427</v>
      </c>
      <c r="L295">
        <v>1368</v>
      </c>
      <c r="N295">
        <v>1011</v>
      </c>
      <c r="O295" t="s">
        <v>361</v>
      </c>
      <c r="P295" t="s">
        <v>361</v>
      </c>
      <c r="Q295">
        <v>1</v>
      </c>
      <c r="X295">
        <v>6.88E-2</v>
      </c>
      <c r="Y295">
        <v>0</v>
      </c>
      <c r="Z295">
        <v>59.51</v>
      </c>
      <c r="AA295">
        <v>0.82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6.88E-2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ROW(Source!A509)</f>
        <v>509</v>
      </c>
      <c r="B296">
        <v>1474090040</v>
      </c>
      <c r="C296">
        <v>1471521511</v>
      </c>
      <c r="D296">
        <v>1441836235</v>
      </c>
      <c r="E296">
        <v>1</v>
      </c>
      <c r="F296">
        <v>1</v>
      </c>
      <c r="G296">
        <v>15514512</v>
      </c>
      <c r="H296">
        <v>3</v>
      </c>
      <c r="I296" t="s">
        <v>388</v>
      </c>
      <c r="J296" t="s">
        <v>389</v>
      </c>
      <c r="K296" t="s">
        <v>390</v>
      </c>
      <c r="L296">
        <v>1346</v>
      </c>
      <c r="N296">
        <v>1009</v>
      </c>
      <c r="O296" t="s">
        <v>368</v>
      </c>
      <c r="P296" t="s">
        <v>368</v>
      </c>
      <c r="Q296">
        <v>1</v>
      </c>
      <c r="X296">
        <v>5.2999999999999999E-2</v>
      </c>
      <c r="Y296">
        <v>31.49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5.2999999999999999E-2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ROW(Source!A510)</f>
        <v>510</v>
      </c>
      <c r="B297">
        <v>1474090041</v>
      </c>
      <c r="C297">
        <v>1471521532</v>
      </c>
      <c r="D297">
        <v>1441819193</v>
      </c>
      <c r="E297">
        <v>15514512</v>
      </c>
      <c r="F297">
        <v>1</v>
      </c>
      <c r="G297">
        <v>15514512</v>
      </c>
      <c r="H297">
        <v>1</v>
      </c>
      <c r="I297" t="s">
        <v>355</v>
      </c>
      <c r="J297" t="s">
        <v>3</v>
      </c>
      <c r="K297" t="s">
        <v>356</v>
      </c>
      <c r="L297">
        <v>1191</v>
      </c>
      <c r="N297">
        <v>1013</v>
      </c>
      <c r="O297" t="s">
        <v>357</v>
      </c>
      <c r="P297" t="s">
        <v>357</v>
      </c>
      <c r="Q297">
        <v>1</v>
      </c>
      <c r="X297">
        <v>0.2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152</v>
      </c>
      <c r="AG297">
        <v>1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ROW(Source!A510)</f>
        <v>510</v>
      </c>
      <c r="B298">
        <v>1474090042</v>
      </c>
      <c r="C298">
        <v>1471521532</v>
      </c>
      <c r="D298">
        <v>1441833954</v>
      </c>
      <c r="E298">
        <v>1</v>
      </c>
      <c r="F298">
        <v>1</v>
      </c>
      <c r="G298">
        <v>15514512</v>
      </c>
      <c r="H298">
        <v>2</v>
      </c>
      <c r="I298" t="s">
        <v>425</v>
      </c>
      <c r="J298" t="s">
        <v>426</v>
      </c>
      <c r="K298" t="s">
        <v>427</v>
      </c>
      <c r="L298">
        <v>1368</v>
      </c>
      <c r="N298">
        <v>1011</v>
      </c>
      <c r="O298" t="s">
        <v>361</v>
      </c>
      <c r="P298" t="s">
        <v>361</v>
      </c>
      <c r="Q298">
        <v>1</v>
      </c>
      <c r="X298">
        <v>1.24E-2</v>
      </c>
      <c r="Y298">
        <v>0</v>
      </c>
      <c r="Z298">
        <v>59.51</v>
      </c>
      <c r="AA298">
        <v>0.82</v>
      </c>
      <c r="AB298">
        <v>0</v>
      </c>
      <c r="AC298">
        <v>0</v>
      </c>
      <c r="AD298">
        <v>1</v>
      </c>
      <c r="AE298">
        <v>0</v>
      </c>
      <c r="AF298" t="s">
        <v>152</v>
      </c>
      <c r="AG298">
        <v>6.2E-2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ROW(Source!A510)</f>
        <v>510</v>
      </c>
      <c r="B299">
        <v>1474090043</v>
      </c>
      <c r="C299">
        <v>1471521532</v>
      </c>
      <c r="D299">
        <v>1441836235</v>
      </c>
      <c r="E299">
        <v>1</v>
      </c>
      <c r="F299">
        <v>1</v>
      </c>
      <c r="G299">
        <v>15514512</v>
      </c>
      <c r="H299">
        <v>3</v>
      </c>
      <c r="I299" t="s">
        <v>388</v>
      </c>
      <c r="J299" t="s">
        <v>389</v>
      </c>
      <c r="K299" t="s">
        <v>390</v>
      </c>
      <c r="L299">
        <v>1346</v>
      </c>
      <c r="N299">
        <v>1009</v>
      </c>
      <c r="O299" t="s">
        <v>368</v>
      </c>
      <c r="P299" t="s">
        <v>368</v>
      </c>
      <c r="Q299">
        <v>1</v>
      </c>
      <c r="X299">
        <v>0.01</v>
      </c>
      <c r="Y299">
        <v>31.49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152</v>
      </c>
      <c r="AG299">
        <v>0.05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ROW(Source!A511)</f>
        <v>511</v>
      </c>
      <c r="B300">
        <v>1474090044</v>
      </c>
      <c r="C300">
        <v>1471521548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355</v>
      </c>
      <c r="J300" t="s">
        <v>3</v>
      </c>
      <c r="K300" t="s">
        <v>356</v>
      </c>
      <c r="L300">
        <v>1191</v>
      </c>
      <c r="N300">
        <v>1013</v>
      </c>
      <c r="O300" t="s">
        <v>357</v>
      </c>
      <c r="P300" t="s">
        <v>357</v>
      </c>
      <c r="Q300">
        <v>1</v>
      </c>
      <c r="X300">
        <v>0.56999999999999995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82</v>
      </c>
      <c r="AG300">
        <v>139.64999999999998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ROW(Source!A511)</f>
        <v>511</v>
      </c>
      <c r="B301">
        <v>1474090045</v>
      </c>
      <c r="C301">
        <v>1471521548</v>
      </c>
      <c r="D301">
        <v>1441836373</v>
      </c>
      <c r="E301">
        <v>1</v>
      </c>
      <c r="F301">
        <v>1</v>
      </c>
      <c r="G301">
        <v>15514512</v>
      </c>
      <c r="H301">
        <v>3</v>
      </c>
      <c r="I301" t="s">
        <v>420</v>
      </c>
      <c r="J301" t="s">
        <v>421</v>
      </c>
      <c r="K301" t="s">
        <v>422</v>
      </c>
      <c r="L301">
        <v>1296</v>
      </c>
      <c r="N301">
        <v>1002</v>
      </c>
      <c r="O301" t="s">
        <v>365</v>
      </c>
      <c r="P301" t="s">
        <v>365</v>
      </c>
      <c r="Q301">
        <v>1</v>
      </c>
      <c r="X301">
        <v>0.3</v>
      </c>
      <c r="Y301">
        <v>134.46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82</v>
      </c>
      <c r="AG301">
        <v>73.5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ROW(Source!A511)</f>
        <v>511</v>
      </c>
      <c r="B302">
        <v>1474090046</v>
      </c>
      <c r="C302">
        <v>1471521548</v>
      </c>
      <c r="D302">
        <v>1441836514</v>
      </c>
      <c r="E302">
        <v>1</v>
      </c>
      <c r="F302">
        <v>1</v>
      </c>
      <c r="G302">
        <v>15514512</v>
      </c>
      <c r="H302">
        <v>3</v>
      </c>
      <c r="I302" t="s">
        <v>378</v>
      </c>
      <c r="J302" t="s">
        <v>379</v>
      </c>
      <c r="K302" t="s">
        <v>380</v>
      </c>
      <c r="L302">
        <v>1339</v>
      </c>
      <c r="N302">
        <v>1007</v>
      </c>
      <c r="O302" t="s">
        <v>381</v>
      </c>
      <c r="P302" t="s">
        <v>381</v>
      </c>
      <c r="Q302">
        <v>1</v>
      </c>
      <c r="X302">
        <v>0.01</v>
      </c>
      <c r="Y302">
        <v>54.81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82</v>
      </c>
      <c r="AG302">
        <v>2.4500000000000002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ROW(Source!A512)</f>
        <v>512</v>
      </c>
      <c r="B303">
        <v>1474090047</v>
      </c>
      <c r="C303">
        <v>1471521563</v>
      </c>
      <c r="D303">
        <v>1441819193</v>
      </c>
      <c r="E303">
        <v>15514512</v>
      </c>
      <c r="F303">
        <v>1</v>
      </c>
      <c r="G303">
        <v>15514512</v>
      </c>
      <c r="H303">
        <v>1</v>
      </c>
      <c r="I303" t="s">
        <v>355</v>
      </c>
      <c r="J303" t="s">
        <v>3</v>
      </c>
      <c r="K303" t="s">
        <v>356</v>
      </c>
      <c r="L303">
        <v>1191</v>
      </c>
      <c r="N303">
        <v>1013</v>
      </c>
      <c r="O303" t="s">
        <v>357</v>
      </c>
      <c r="P303" t="s">
        <v>357</v>
      </c>
      <c r="Q303">
        <v>1</v>
      </c>
      <c r="X303">
        <v>0.34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3</v>
      </c>
      <c r="AG303">
        <v>0.34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ROW(Source!A512)</f>
        <v>512</v>
      </c>
      <c r="B304">
        <v>1474090048</v>
      </c>
      <c r="C304">
        <v>1471521563</v>
      </c>
      <c r="D304">
        <v>1441836912</v>
      </c>
      <c r="E304">
        <v>1</v>
      </c>
      <c r="F304">
        <v>1</v>
      </c>
      <c r="G304">
        <v>15514512</v>
      </c>
      <c r="H304">
        <v>3</v>
      </c>
      <c r="I304" t="s">
        <v>394</v>
      </c>
      <c r="J304" t="s">
        <v>395</v>
      </c>
      <c r="K304" t="s">
        <v>396</v>
      </c>
      <c r="L304">
        <v>1354</v>
      </c>
      <c r="N304">
        <v>16987630</v>
      </c>
      <c r="O304" t="s">
        <v>39</v>
      </c>
      <c r="P304" t="s">
        <v>39</v>
      </c>
      <c r="Q304">
        <v>1</v>
      </c>
      <c r="X304">
        <v>0.3</v>
      </c>
      <c r="Y304">
        <v>27.52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0.3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ROW(Source!A513)</f>
        <v>513</v>
      </c>
      <c r="B305">
        <v>1474090049</v>
      </c>
      <c r="C305">
        <v>1471521581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355</v>
      </c>
      <c r="J305" t="s">
        <v>3</v>
      </c>
      <c r="K305" t="s">
        <v>356</v>
      </c>
      <c r="L305">
        <v>1191</v>
      </c>
      <c r="N305">
        <v>1013</v>
      </c>
      <c r="O305" t="s">
        <v>357</v>
      </c>
      <c r="P305" t="s">
        <v>357</v>
      </c>
      <c r="Q305">
        <v>1</v>
      </c>
      <c r="X305">
        <v>0.18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197</v>
      </c>
      <c r="AG305">
        <v>0.18720000000000001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ROW(Source!A513)</f>
        <v>513</v>
      </c>
      <c r="B306">
        <v>1474090050</v>
      </c>
      <c r="C306">
        <v>1471521581</v>
      </c>
      <c r="D306">
        <v>1441836235</v>
      </c>
      <c r="E306">
        <v>1</v>
      </c>
      <c r="F306">
        <v>1</v>
      </c>
      <c r="G306">
        <v>15514512</v>
      </c>
      <c r="H306">
        <v>3</v>
      </c>
      <c r="I306" t="s">
        <v>388</v>
      </c>
      <c r="J306" t="s">
        <v>389</v>
      </c>
      <c r="K306" t="s">
        <v>390</v>
      </c>
      <c r="L306">
        <v>1346</v>
      </c>
      <c r="N306">
        <v>1009</v>
      </c>
      <c r="O306" t="s">
        <v>368</v>
      </c>
      <c r="P306" t="s">
        <v>368</v>
      </c>
      <c r="Q306">
        <v>1</v>
      </c>
      <c r="X306">
        <v>0.04</v>
      </c>
      <c r="Y306">
        <v>31.49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3</v>
      </c>
      <c r="AG306">
        <v>0.04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ROW(Source!A514)</f>
        <v>514</v>
      </c>
      <c r="B307">
        <v>1474090051</v>
      </c>
      <c r="C307">
        <v>1471521595</v>
      </c>
      <c r="D307">
        <v>1441819193</v>
      </c>
      <c r="E307">
        <v>15514512</v>
      </c>
      <c r="F307">
        <v>1</v>
      </c>
      <c r="G307">
        <v>15514512</v>
      </c>
      <c r="H307">
        <v>1</v>
      </c>
      <c r="I307" t="s">
        <v>355</v>
      </c>
      <c r="J307" t="s">
        <v>3</v>
      </c>
      <c r="K307" t="s">
        <v>356</v>
      </c>
      <c r="L307">
        <v>1191</v>
      </c>
      <c r="N307">
        <v>1013</v>
      </c>
      <c r="O307" t="s">
        <v>357</v>
      </c>
      <c r="P307" t="s">
        <v>357</v>
      </c>
      <c r="Q307">
        <v>1</v>
      </c>
      <c r="X307">
        <v>0.3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1</v>
      </c>
      <c r="AF307" t="s">
        <v>197</v>
      </c>
      <c r="AG307">
        <v>0.312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ROW(Source!A514)</f>
        <v>514</v>
      </c>
      <c r="B308">
        <v>1474090052</v>
      </c>
      <c r="C308">
        <v>1471521595</v>
      </c>
      <c r="D308">
        <v>1441836235</v>
      </c>
      <c r="E308">
        <v>1</v>
      </c>
      <c r="F308">
        <v>1</v>
      </c>
      <c r="G308">
        <v>15514512</v>
      </c>
      <c r="H308">
        <v>3</v>
      </c>
      <c r="I308" t="s">
        <v>388</v>
      </c>
      <c r="J308" t="s">
        <v>389</v>
      </c>
      <c r="K308" t="s">
        <v>390</v>
      </c>
      <c r="L308">
        <v>1346</v>
      </c>
      <c r="N308">
        <v>1009</v>
      </c>
      <c r="O308" t="s">
        <v>368</v>
      </c>
      <c r="P308" t="s">
        <v>368</v>
      </c>
      <c r="Q308">
        <v>1</v>
      </c>
      <c r="X308">
        <v>0.02</v>
      </c>
      <c r="Y308">
        <v>31.49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</v>
      </c>
      <c r="AG308">
        <v>0.02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ROW(Source!A515)</f>
        <v>515</v>
      </c>
      <c r="B309">
        <v>1474090053</v>
      </c>
      <c r="C309">
        <v>1471521607</v>
      </c>
      <c r="D309">
        <v>1441819193</v>
      </c>
      <c r="E309">
        <v>15514512</v>
      </c>
      <c r="F309">
        <v>1</v>
      </c>
      <c r="G309">
        <v>15514512</v>
      </c>
      <c r="H309">
        <v>1</v>
      </c>
      <c r="I309" t="s">
        <v>355</v>
      </c>
      <c r="J309" t="s">
        <v>3</v>
      </c>
      <c r="K309" t="s">
        <v>356</v>
      </c>
      <c r="L309">
        <v>1191</v>
      </c>
      <c r="N309">
        <v>1013</v>
      </c>
      <c r="O309" t="s">
        <v>357</v>
      </c>
      <c r="P309" t="s">
        <v>357</v>
      </c>
      <c r="Q309">
        <v>1</v>
      </c>
      <c r="X309">
        <v>0.4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197</v>
      </c>
      <c r="AG309">
        <v>0.41600000000000004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ROW(Source!A515)</f>
        <v>515</v>
      </c>
      <c r="B310">
        <v>1474090054</v>
      </c>
      <c r="C310">
        <v>1471521607</v>
      </c>
      <c r="D310">
        <v>1441836235</v>
      </c>
      <c r="E310">
        <v>1</v>
      </c>
      <c r="F310">
        <v>1</v>
      </c>
      <c r="G310">
        <v>15514512</v>
      </c>
      <c r="H310">
        <v>3</v>
      </c>
      <c r="I310" t="s">
        <v>388</v>
      </c>
      <c r="J310" t="s">
        <v>389</v>
      </c>
      <c r="K310" t="s">
        <v>390</v>
      </c>
      <c r="L310">
        <v>1346</v>
      </c>
      <c r="N310">
        <v>1009</v>
      </c>
      <c r="O310" t="s">
        <v>368</v>
      </c>
      <c r="P310" t="s">
        <v>368</v>
      </c>
      <c r="Q310">
        <v>1</v>
      </c>
      <c r="X310">
        <v>0.04</v>
      </c>
      <c r="Y310">
        <v>31.49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0.04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ROW(Source!A516)</f>
        <v>516</v>
      </c>
      <c r="B311">
        <v>1474090055</v>
      </c>
      <c r="C311">
        <v>1471521616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355</v>
      </c>
      <c r="J311" t="s">
        <v>3</v>
      </c>
      <c r="K311" t="s">
        <v>356</v>
      </c>
      <c r="L311">
        <v>1191</v>
      </c>
      <c r="N311">
        <v>1013</v>
      </c>
      <c r="O311" t="s">
        <v>357</v>
      </c>
      <c r="P311" t="s">
        <v>357</v>
      </c>
      <c r="Q311">
        <v>1</v>
      </c>
      <c r="X311">
        <v>0.26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57</v>
      </c>
      <c r="AG311">
        <v>1.04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ROW(Source!A516)</f>
        <v>516</v>
      </c>
      <c r="B312">
        <v>1474090056</v>
      </c>
      <c r="C312">
        <v>1471521616</v>
      </c>
      <c r="D312">
        <v>1441836235</v>
      </c>
      <c r="E312">
        <v>1</v>
      </c>
      <c r="F312">
        <v>1</v>
      </c>
      <c r="G312">
        <v>15514512</v>
      </c>
      <c r="H312">
        <v>3</v>
      </c>
      <c r="I312" t="s">
        <v>388</v>
      </c>
      <c r="J312" t="s">
        <v>389</v>
      </c>
      <c r="K312" t="s">
        <v>390</v>
      </c>
      <c r="L312">
        <v>1346</v>
      </c>
      <c r="N312">
        <v>1009</v>
      </c>
      <c r="O312" t="s">
        <v>368</v>
      </c>
      <c r="P312" t="s">
        <v>368</v>
      </c>
      <c r="Q312">
        <v>1</v>
      </c>
      <c r="X312">
        <v>0.04</v>
      </c>
      <c r="Y312">
        <v>31.49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57</v>
      </c>
      <c r="AG312">
        <v>0.16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ROW(Source!A517)</f>
        <v>517</v>
      </c>
      <c r="B313">
        <v>1474090057</v>
      </c>
      <c r="C313">
        <v>1471521630</v>
      </c>
      <c r="D313">
        <v>1441819193</v>
      </c>
      <c r="E313">
        <v>15514512</v>
      </c>
      <c r="F313">
        <v>1</v>
      </c>
      <c r="G313">
        <v>15514512</v>
      </c>
      <c r="H313">
        <v>1</v>
      </c>
      <c r="I313" t="s">
        <v>355</v>
      </c>
      <c r="J313" t="s">
        <v>3</v>
      </c>
      <c r="K313" t="s">
        <v>356</v>
      </c>
      <c r="L313">
        <v>1191</v>
      </c>
      <c r="N313">
        <v>1013</v>
      </c>
      <c r="O313" t="s">
        <v>357</v>
      </c>
      <c r="P313" t="s">
        <v>357</v>
      </c>
      <c r="Q313">
        <v>1</v>
      </c>
      <c r="X313">
        <v>0.5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1</v>
      </c>
      <c r="AF313" t="s">
        <v>57</v>
      </c>
      <c r="AG313">
        <v>2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ROW(Source!A518)</f>
        <v>518</v>
      </c>
      <c r="B314">
        <v>1474090058</v>
      </c>
      <c r="C314">
        <v>1471521639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355</v>
      </c>
      <c r="J314" t="s">
        <v>3</v>
      </c>
      <c r="K314" t="s">
        <v>356</v>
      </c>
      <c r="L314">
        <v>1191</v>
      </c>
      <c r="N314">
        <v>1013</v>
      </c>
      <c r="O314" t="s">
        <v>357</v>
      </c>
      <c r="P314" t="s">
        <v>357</v>
      </c>
      <c r="Q314">
        <v>1</v>
      </c>
      <c r="X314">
        <v>1.76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3</v>
      </c>
      <c r="AG314">
        <v>1.76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ROW(Source!A519)</f>
        <v>519</v>
      </c>
      <c r="B315">
        <v>1474090059</v>
      </c>
      <c r="C315">
        <v>1471521643</v>
      </c>
      <c r="D315">
        <v>1441819193</v>
      </c>
      <c r="E315">
        <v>15514512</v>
      </c>
      <c r="F315">
        <v>1</v>
      </c>
      <c r="G315">
        <v>15514512</v>
      </c>
      <c r="H315">
        <v>1</v>
      </c>
      <c r="I315" t="s">
        <v>355</v>
      </c>
      <c r="J315" t="s">
        <v>3</v>
      </c>
      <c r="K315" t="s">
        <v>356</v>
      </c>
      <c r="L315">
        <v>1191</v>
      </c>
      <c r="N315">
        <v>1013</v>
      </c>
      <c r="O315" t="s">
        <v>357</v>
      </c>
      <c r="P315" t="s">
        <v>357</v>
      </c>
      <c r="Q315">
        <v>1</v>
      </c>
      <c r="X315">
        <v>3.38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1</v>
      </c>
      <c r="AF315" t="s">
        <v>3</v>
      </c>
      <c r="AG315">
        <v>3.38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ROW(Source!A519)</f>
        <v>519</v>
      </c>
      <c r="B316">
        <v>1474090060</v>
      </c>
      <c r="C316">
        <v>1471521643</v>
      </c>
      <c r="D316">
        <v>1441836235</v>
      </c>
      <c r="E316">
        <v>1</v>
      </c>
      <c r="F316">
        <v>1</v>
      </c>
      <c r="G316">
        <v>15514512</v>
      </c>
      <c r="H316">
        <v>3</v>
      </c>
      <c r="I316" t="s">
        <v>388</v>
      </c>
      <c r="J316" t="s">
        <v>389</v>
      </c>
      <c r="K316" t="s">
        <v>390</v>
      </c>
      <c r="L316">
        <v>1346</v>
      </c>
      <c r="N316">
        <v>1009</v>
      </c>
      <c r="O316" t="s">
        <v>368</v>
      </c>
      <c r="P316" t="s">
        <v>368</v>
      </c>
      <c r="Q316">
        <v>1</v>
      </c>
      <c r="X316">
        <v>0.1</v>
      </c>
      <c r="Y316">
        <v>31.49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</v>
      </c>
      <c r="AG316">
        <v>0.1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ROW(Source!A519)</f>
        <v>519</v>
      </c>
      <c r="B317">
        <v>1474090061</v>
      </c>
      <c r="C317">
        <v>1471521643</v>
      </c>
      <c r="D317">
        <v>1441821379</v>
      </c>
      <c r="E317">
        <v>15514512</v>
      </c>
      <c r="F317">
        <v>1</v>
      </c>
      <c r="G317">
        <v>15514512</v>
      </c>
      <c r="H317">
        <v>3</v>
      </c>
      <c r="I317" t="s">
        <v>423</v>
      </c>
      <c r="J317" t="s">
        <v>3</v>
      </c>
      <c r="K317" t="s">
        <v>424</v>
      </c>
      <c r="L317">
        <v>1346</v>
      </c>
      <c r="N317">
        <v>1009</v>
      </c>
      <c r="O317" t="s">
        <v>368</v>
      </c>
      <c r="P317" t="s">
        <v>368</v>
      </c>
      <c r="Q317">
        <v>1</v>
      </c>
      <c r="X317">
        <v>2.4E-2</v>
      </c>
      <c r="Y317">
        <v>89.933959999999999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2.4E-2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ROW(Source!A520)</f>
        <v>520</v>
      </c>
      <c r="B318">
        <v>1474090062</v>
      </c>
      <c r="C318">
        <v>1471521664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355</v>
      </c>
      <c r="J318" t="s">
        <v>3</v>
      </c>
      <c r="K318" t="s">
        <v>356</v>
      </c>
      <c r="L318">
        <v>1191</v>
      </c>
      <c r="N318">
        <v>1013</v>
      </c>
      <c r="O318" t="s">
        <v>357</v>
      </c>
      <c r="P318" t="s">
        <v>357</v>
      </c>
      <c r="Q318">
        <v>1</v>
      </c>
      <c r="X318">
        <v>6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57</v>
      </c>
      <c r="AG318">
        <v>24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ROW(Source!A520)</f>
        <v>520</v>
      </c>
      <c r="B319">
        <v>1474090063</v>
      </c>
      <c r="C319">
        <v>1471521664</v>
      </c>
      <c r="D319">
        <v>1441834258</v>
      </c>
      <c r="E319">
        <v>1</v>
      </c>
      <c r="F319">
        <v>1</v>
      </c>
      <c r="G319">
        <v>15514512</v>
      </c>
      <c r="H319">
        <v>2</v>
      </c>
      <c r="I319" t="s">
        <v>371</v>
      </c>
      <c r="J319" t="s">
        <v>372</v>
      </c>
      <c r="K319" t="s">
        <v>373</v>
      </c>
      <c r="L319">
        <v>1368</v>
      </c>
      <c r="N319">
        <v>1011</v>
      </c>
      <c r="O319" t="s">
        <v>361</v>
      </c>
      <c r="P319" t="s">
        <v>361</v>
      </c>
      <c r="Q319">
        <v>1</v>
      </c>
      <c r="X319">
        <v>0.7</v>
      </c>
      <c r="Y319">
        <v>0</v>
      </c>
      <c r="Z319">
        <v>1303.01</v>
      </c>
      <c r="AA319">
        <v>826.2</v>
      </c>
      <c r="AB319">
        <v>0</v>
      </c>
      <c r="AC319">
        <v>0</v>
      </c>
      <c r="AD319">
        <v>1</v>
      </c>
      <c r="AE319">
        <v>0</v>
      </c>
      <c r="AF319" t="s">
        <v>57</v>
      </c>
      <c r="AG319">
        <v>2.8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ROW(Source!A520)</f>
        <v>520</v>
      </c>
      <c r="B320">
        <v>1474090064</v>
      </c>
      <c r="C320">
        <v>1471521664</v>
      </c>
      <c r="D320">
        <v>1441836235</v>
      </c>
      <c r="E320">
        <v>1</v>
      </c>
      <c r="F320">
        <v>1</v>
      </c>
      <c r="G320">
        <v>15514512</v>
      </c>
      <c r="H320">
        <v>3</v>
      </c>
      <c r="I320" t="s">
        <v>388</v>
      </c>
      <c r="J320" t="s">
        <v>389</v>
      </c>
      <c r="K320" t="s">
        <v>390</v>
      </c>
      <c r="L320">
        <v>1346</v>
      </c>
      <c r="N320">
        <v>1009</v>
      </c>
      <c r="O320" t="s">
        <v>368</v>
      </c>
      <c r="P320" t="s">
        <v>368</v>
      </c>
      <c r="Q320">
        <v>1</v>
      </c>
      <c r="X320">
        <v>0.03</v>
      </c>
      <c r="Y320">
        <v>31.49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57</v>
      </c>
      <c r="AG320">
        <v>0.12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ROW(Source!A521)</f>
        <v>521</v>
      </c>
      <c r="B321">
        <v>1474090065</v>
      </c>
      <c r="C321">
        <v>1471521688</v>
      </c>
      <c r="D321">
        <v>1441819193</v>
      </c>
      <c r="E321">
        <v>15514512</v>
      </c>
      <c r="F321">
        <v>1</v>
      </c>
      <c r="G321">
        <v>15514512</v>
      </c>
      <c r="H321">
        <v>1</v>
      </c>
      <c r="I321" t="s">
        <v>355</v>
      </c>
      <c r="J321" t="s">
        <v>3</v>
      </c>
      <c r="K321" t="s">
        <v>356</v>
      </c>
      <c r="L321">
        <v>1191</v>
      </c>
      <c r="N321">
        <v>1013</v>
      </c>
      <c r="O321" t="s">
        <v>357</v>
      </c>
      <c r="P321" t="s">
        <v>357</v>
      </c>
      <c r="Q321">
        <v>1</v>
      </c>
      <c r="X321">
        <v>0.4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1</v>
      </c>
      <c r="AF321" t="s">
        <v>3</v>
      </c>
      <c r="AG321">
        <v>0.4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ROW(Source!A521)</f>
        <v>521</v>
      </c>
      <c r="B322">
        <v>1474090066</v>
      </c>
      <c r="C322">
        <v>1471521688</v>
      </c>
      <c r="D322">
        <v>1441836235</v>
      </c>
      <c r="E322">
        <v>1</v>
      </c>
      <c r="F322">
        <v>1</v>
      </c>
      <c r="G322">
        <v>15514512</v>
      </c>
      <c r="H322">
        <v>3</v>
      </c>
      <c r="I322" t="s">
        <v>388</v>
      </c>
      <c r="J322" t="s">
        <v>389</v>
      </c>
      <c r="K322" t="s">
        <v>390</v>
      </c>
      <c r="L322">
        <v>1346</v>
      </c>
      <c r="N322">
        <v>1009</v>
      </c>
      <c r="O322" t="s">
        <v>368</v>
      </c>
      <c r="P322" t="s">
        <v>368</v>
      </c>
      <c r="Q322">
        <v>1</v>
      </c>
      <c r="X322">
        <v>0.2</v>
      </c>
      <c r="Y322">
        <v>31.49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0.2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ROW(Source!A522)</f>
        <v>522</v>
      </c>
      <c r="B323">
        <v>1474090067</v>
      </c>
      <c r="C323">
        <v>1471521696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355</v>
      </c>
      <c r="J323" t="s">
        <v>3</v>
      </c>
      <c r="K323" t="s">
        <v>356</v>
      </c>
      <c r="L323">
        <v>1191</v>
      </c>
      <c r="N323">
        <v>1013</v>
      </c>
      <c r="O323" t="s">
        <v>357</v>
      </c>
      <c r="P323" t="s">
        <v>357</v>
      </c>
      <c r="Q323">
        <v>1</v>
      </c>
      <c r="X323">
        <v>0.18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3</v>
      </c>
      <c r="AG323">
        <v>0.18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ROW(Source!A522)</f>
        <v>522</v>
      </c>
      <c r="B324">
        <v>1474090068</v>
      </c>
      <c r="C324">
        <v>1471521696</v>
      </c>
      <c r="D324">
        <v>1441836235</v>
      </c>
      <c r="E324">
        <v>1</v>
      </c>
      <c r="F324">
        <v>1</v>
      </c>
      <c r="G324">
        <v>15514512</v>
      </c>
      <c r="H324">
        <v>3</v>
      </c>
      <c r="I324" t="s">
        <v>388</v>
      </c>
      <c r="J324" t="s">
        <v>389</v>
      </c>
      <c r="K324" t="s">
        <v>390</v>
      </c>
      <c r="L324">
        <v>1346</v>
      </c>
      <c r="N324">
        <v>1009</v>
      </c>
      <c r="O324" t="s">
        <v>368</v>
      </c>
      <c r="P324" t="s">
        <v>368</v>
      </c>
      <c r="Q324">
        <v>1</v>
      </c>
      <c r="X324">
        <v>0.2</v>
      </c>
      <c r="Y324">
        <v>31.49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0.2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ROW(Source!A523)</f>
        <v>523</v>
      </c>
      <c r="B325">
        <v>1474090069</v>
      </c>
      <c r="C325">
        <v>1471521709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355</v>
      </c>
      <c r="J325" t="s">
        <v>3</v>
      </c>
      <c r="K325" t="s">
        <v>356</v>
      </c>
      <c r="L325">
        <v>1191</v>
      </c>
      <c r="N325">
        <v>1013</v>
      </c>
      <c r="O325" t="s">
        <v>357</v>
      </c>
      <c r="P325" t="s">
        <v>357</v>
      </c>
      <c r="Q325">
        <v>1</v>
      </c>
      <c r="X325">
        <v>0.24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156</v>
      </c>
      <c r="AG325">
        <v>0.72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ROW(Source!A524)</f>
        <v>524</v>
      </c>
      <c r="B326">
        <v>1474090070</v>
      </c>
      <c r="C326">
        <v>1471521726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355</v>
      </c>
      <c r="J326" t="s">
        <v>3</v>
      </c>
      <c r="K326" t="s">
        <v>356</v>
      </c>
      <c r="L326">
        <v>1191</v>
      </c>
      <c r="N326">
        <v>1013</v>
      </c>
      <c r="O326" t="s">
        <v>357</v>
      </c>
      <c r="P326" t="s">
        <v>357</v>
      </c>
      <c r="Q326">
        <v>1</v>
      </c>
      <c r="X326">
        <v>10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3</v>
      </c>
      <c r="AG326">
        <v>10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ROW(Source!A524)</f>
        <v>524</v>
      </c>
      <c r="B327">
        <v>1474090071</v>
      </c>
      <c r="C327">
        <v>1471521726</v>
      </c>
      <c r="D327">
        <v>1441836237</v>
      </c>
      <c r="E327">
        <v>1</v>
      </c>
      <c r="F327">
        <v>1</v>
      </c>
      <c r="G327">
        <v>15514512</v>
      </c>
      <c r="H327">
        <v>3</v>
      </c>
      <c r="I327" t="s">
        <v>409</v>
      </c>
      <c r="J327" t="s">
        <v>410</v>
      </c>
      <c r="K327" t="s">
        <v>411</v>
      </c>
      <c r="L327">
        <v>1346</v>
      </c>
      <c r="N327">
        <v>1009</v>
      </c>
      <c r="O327" t="s">
        <v>368</v>
      </c>
      <c r="P327" t="s">
        <v>368</v>
      </c>
      <c r="Q327">
        <v>1</v>
      </c>
      <c r="X327">
        <v>0.06</v>
      </c>
      <c r="Y327">
        <v>375.16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0.06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ROW(Source!A525)</f>
        <v>525</v>
      </c>
      <c r="B328">
        <v>1474090072</v>
      </c>
      <c r="C328">
        <v>1471521739</v>
      </c>
      <c r="D328">
        <v>1441819193</v>
      </c>
      <c r="E328">
        <v>15514512</v>
      </c>
      <c r="F328">
        <v>1</v>
      </c>
      <c r="G328">
        <v>15514512</v>
      </c>
      <c r="H328">
        <v>1</v>
      </c>
      <c r="I328" t="s">
        <v>355</v>
      </c>
      <c r="J328" t="s">
        <v>3</v>
      </c>
      <c r="K328" t="s">
        <v>356</v>
      </c>
      <c r="L328">
        <v>1191</v>
      </c>
      <c r="N328">
        <v>1013</v>
      </c>
      <c r="O328" t="s">
        <v>357</v>
      </c>
      <c r="P328" t="s">
        <v>357</v>
      </c>
      <c r="Q328">
        <v>1</v>
      </c>
      <c r="X328">
        <v>0.33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1</v>
      </c>
      <c r="AF328" t="s">
        <v>3</v>
      </c>
      <c r="AG328">
        <v>0.33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ROW(Source!A526)</f>
        <v>526</v>
      </c>
      <c r="B329">
        <v>1474090073</v>
      </c>
      <c r="C329">
        <v>1471521744</v>
      </c>
      <c r="D329">
        <v>1441819193</v>
      </c>
      <c r="E329">
        <v>15514512</v>
      </c>
      <c r="F329">
        <v>1</v>
      </c>
      <c r="G329">
        <v>15514512</v>
      </c>
      <c r="H329">
        <v>1</v>
      </c>
      <c r="I329" t="s">
        <v>355</v>
      </c>
      <c r="J329" t="s">
        <v>3</v>
      </c>
      <c r="K329" t="s">
        <v>356</v>
      </c>
      <c r="L329">
        <v>1191</v>
      </c>
      <c r="N329">
        <v>1013</v>
      </c>
      <c r="O329" t="s">
        <v>357</v>
      </c>
      <c r="P329" t="s">
        <v>357</v>
      </c>
      <c r="Q329">
        <v>1</v>
      </c>
      <c r="X329">
        <v>10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1</v>
      </c>
      <c r="AF329" t="s">
        <v>3</v>
      </c>
      <c r="AG329">
        <v>10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ROW(Source!A526)</f>
        <v>526</v>
      </c>
      <c r="B330">
        <v>1474090074</v>
      </c>
      <c r="C330">
        <v>1471521744</v>
      </c>
      <c r="D330">
        <v>1441836237</v>
      </c>
      <c r="E330">
        <v>1</v>
      </c>
      <c r="F330">
        <v>1</v>
      </c>
      <c r="G330">
        <v>15514512</v>
      </c>
      <c r="H330">
        <v>3</v>
      </c>
      <c r="I330" t="s">
        <v>409</v>
      </c>
      <c r="J330" t="s">
        <v>410</v>
      </c>
      <c r="K330" t="s">
        <v>411</v>
      </c>
      <c r="L330">
        <v>1346</v>
      </c>
      <c r="N330">
        <v>1009</v>
      </c>
      <c r="O330" t="s">
        <v>368</v>
      </c>
      <c r="P330" t="s">
        <v>368</v>
      </c>
      <c r="Q330">
        <v>1</v>
      </c>
      <c r="X330">
        <v>0.06</v>
      </c>
      <c r="Y330">
        <v>375.16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0.06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ROW(Source!A527)</f>
        <v>527</v>
      </c>
      <c r="B331">
        <v>1474090075</v>
      </c>
      <c r="C331">
        <v>1471521770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355</v>
      </c>
      <c r="J331" t="s">
        <v>3</v>
      </c>
      <c r="K331" t="s">
        <v>356</v>
      </c>
      <c r="L331">
        <v>1191</v>
      </c>
      <c r="N331">
        <v>1013</v>
      </c>
      <c r="O331" t="s">
        <v>357</v>
      </c>
      <c r="P331" t="s">
        <v>357</v>
      </c>
      <c r="Q331">
        <v>1</v>
      </c>
      <c r="X331">
        <v>0.33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</v>
      </c>
      <c r="AG331">
        <v>0.33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ROW(Source!A597)</f>
        <v>597</v>
      </c>
      <c r="B332">
        <v>1474090076</v>
      </c>
      <c r="C332">
        <v>1471521780</v>
      </c>
      <c r="D332">
        <v>1441819193</v>
      </c>
      <c r="E332">
        <v>15514512</v>
      </c>
      <c r="F332">
        <v>1</v>
      </c>
      <c r="G332">
        <v>15514512</v>
      </c>
      <c r="H332">
        <v>1</v>
      </c>
      <c r="I332" t="s">
        <v>355</v>
      </c>
      <c r="J332" t="s">
        <v>3</v>
      </c>
      <c r="K332" t="s">
        <v>356</v>
      </c>
      <c r="L332">
        <v>1191</v>
      </c>
      <c r="N332">
        <v>1013</v>
      </c>
      <c r="O332" t="s">
        <v>357</v>
      </c>
      <c r="P332" t="s">
        <v>357</v>
      </c>
      <c r="Q332">
        <v>1</v>
      </c>
      <c r="X332">
        <v>1.75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1</v>
      </c>
      <c r="AF332" t="s">
        <v>3</v>
      </c>
      <c r="AG332">
        <v>1.75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ROW(Source!A597)</f>
        <v>597</v>
      </c>
      <c r="B333">
        <v>1474090077</v>
      </c>
      <c r="C333">
        <v>1471521780</v>
      </c>
      <c r="D333">
        <v>1441834258</v>
      </c>
      <c r="E333">
        <v>1</v>
      </c>
      <c r="F333">
        <v>1</v>
      </c>
      <c r="G333">
        <v>15514512</v>
      </c>
      <c r="H333">
        <v>2</v>
      </c>
      <c r="I333" t="s">
        <v>371</v>
      </c>
      <c r="J333" t="s">
        <v>372</v>
      </c>
      <c r="K333" t="s">
        <v>373</v>
      </c>
      <c r="L333">
        <v>1368</v>
      </c>
      <c r="N333">
        <v>1011</v>
      </c>
      <c r="O333" t="s">
        <v>361</v>
      </c>
      <c r="P333" t="s">
        <v>361</v>
      </c>
      <c r="Q333">
        <v>1</v>
      </c>
      <c r="X333">
        <v>1.083</v>
      </c>
      <c r="Y333">
        <v>0</v>
      </c>
      <c r="Z333">
        <v>1303.01</v>
      </c>
      <c r="AA333">
        <v>826.2</v>
      </c>
      <c r="AB333">
        <v>0</v>
      </c>
      <c r="AC333">
        <v>0</v>
      </c>
      <c r="AD333">
        <v>1</v>
      </c>
      <c r="AE333">
        <v>0</v>
      </c>
      <c r="AF333" t="s">
        <v>3</v>
      </c>
      <c r="AG333">
        <v>1.083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ROW(Source!A597)</f>
        <v>597</v>
      </c>
      <c r="B334">
        <v>1474090078</v>
      </c>
      <c r="C334">
        <v>1471521780</v>
      </c>
      <c r="D334">
        <v>1441836235</v>
      </c>
      <c r="E334">
        <v>1</v>
      </c>
      <c r="F334">
        <v>1</v>
      </c>
      <c r="G334">
        <v>15514512</v>
      </c>
      <c r="H334">
        <v>3</v>
      </c>
      <c r="I334" t="s">
        <v>388</v>
      </c>
      <c r="J334" t="s">
        <v>389</v>
      </c>
      <c r="K334" t="s">
        <v>390</v>
      </c>
      <c r="L334">
        <v>1346</v>
      </c>
      <c r="N334">
        <v>1009</v>
      </c>
      <c r="O334" t="s">
        <v>368</v>
      </c>
      <c r="P334" t="s">
        <v>368</v>
      </c>
      <c r="Q334">
        <v>1</v>
      </c>
      <c r="X334">
        <v>0.02</v>
      </c>
      <c r="Y334">
        <v>31.49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0.02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ROW(Source!A598)</f>
        <v>598</v>
      </c>
      <c r="B335">
        <v>1474090079</v>
      </c>
      <c r="C335">
        <v>1471521791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355</v>
      </c>
      <c r="J335" t="s">
        <v>3</v>
      </c>
      <c r="K335" t="s">
        <v>356</v>
      </c>
      <c r="L335">
        <v>1191</v>
      </c>
      <c r="N335">
        <v>1013</v>
      </c>
      <c r="O335" t="s">
        <v>357</v>
      </c>
      <c r="P335" t="s">
        <v>357</v>
      </c>
      <c r="Q335">
        <v>1</v>
      </c>
      <c r="X335">
        <v>5.7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3</v>
      </c>
      <c r="AG335">
        <v>5.7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ROW(Source!A598)</f>
        <v>598</v>
      </c>
      <c r="B336">
        <v>1474090080</v>
      </c>
      <c r="C336">
        <v>1471521791</v>
      </c>
      <c r="D336">
        <v>1441833662</v>
      </c>
      <c r="E336">
        <v>1</v>
      </c>
      <c r="F336">
        <v>1</v>
      </c>
      <c r="G336">
        <v>15514512</v>
      </c>
      <c r="H336">
        <v>2</v>
      </c>
      <c r="I336" t="s">
        <v>391</v>
      </c>
      <c r="J336" t="s">
        <v>392</v>
      </c>
      <c r="K336" t="s">
        <v>393</v>
      </c>
      <c r="L336">
        <v>1368</v>
      </c>
      <c r="N336">
        <v>1011</v>
      </c>
      <c r="O336" t="s">
        <v>361</v>
      </c>
      <c r="P336" t="s">
        <v>361</v>
      </c>
      <c r="Q336">
        <v>1</v>
      </c>
      <c r="X336">
        <v>0.6</v>
      </c>
      <c r="Y336">
        <v>0</v>
      </c>
      <c r="Z336">
        <v>44.21</v>
      </c>
      <c r="AA336">
        <v>1.89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0.6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ROW(Source!A598)</f>
        <v>598</v>
      </c>
      <c r="B337">
        <v>1474090081</v>
      </c>
      <c r="C337">
        <v>1471521791</v>
      </c>
      <c r="D337">
        <v>1441836235</v>
      </c>
      <c r="E337">
        <v>1</v>
      </c>
      <c r="F337">
        <v>1</v>
      </c>
      <c r="G337">
        <v>15514512</v>
      </c>
      <c r="H337">
        <v>3</v>
      </c>
      <c r="I337" t="s">
        <v>388</v>
      </c>
      <c r="J337" t="s">
        <v>389</v>
      </c>
      <c r="K337" t="s">
        <v>390</v>
      </c>
      <c r="L337">
        <v>1346</v>
      </c>
      <c r="N337">
        <v>1009</v>
      </c>
      <c r="O337" t="s">
        <v>368</v>
      </c>
      <c r="P337" t="s">
        <v>368</v>
      </c>
      <c r="Q337">
        <v>1</v>
      </c>
      <c r="X337">
        <v>2</v>
      </c>
      <c r="Y337">
        <v>31.49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3</v>
      </c>
      <c r="AG337">
        <v>2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ROW(Source!A598)</f>
        <v>598</v>
      </c>
      <c r="B338">
        <v>1474090082</v>
      </c>
      <c r="C338">
        <v>1471521791</v>
      </c>
      <c r="D338">
        <v>1441836912</v>
      </c>
      <c r="E338">
        <v>1</v>
      </c>
      <c r="F338">
        <v>1</v>
      </c>
      <c r="G338">
        <v>15514512</v>
      </c>
      <c r="H338">
        <v>3</v>
      </c>
      <c r="I338" t="s">
        <v>394</v>
      </c>
      <c r="J338" t="s">
        <v>395</v>
      </c>
      <c r="K338" t="s">
        <v>396</v>
      </c>
      <c r="L338">
        <v>1354</v>
      </c>
      <c r="N338">
        <v>16987630</v>
      </c>
      <c r="O338" t="s">
        <v>39</v>
      </c>
      <c r="P338" t="s">
        <v>39</v>
      </c>
      <c r="Q338">
        <v>1</v>
      </c>
      <c r="X338">
        <v>1</v>
      </c>
      <c r="Y338">
        <v>27.52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3</v>
      </c>
      <c r="AG338">
        <v>1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ROW(Source!A598)</f>
        <v>598</v>
      </c>
      <c r="B339">
        <v>1474090083</v>
      </c>
      <c r="C339">
        <v>1471521791</v>
      </c>
      <c r="D339">
        <v>1441834654</v>
      </c>
      <c r="E339">
        <v>1</v>
      </c>
      <c r="F339">
        <v>1</v>
      </c>
      <c r="G339">
        <v>15514512</v>
      </c>
      <c r="H339">
        <v>3</v>
      </c>
      <c r="I339" t="s">
        <v>397</v>
      </c>
      <c r="J339" t="s">
        <v>398</v>
      </c>
      <c r="K339" t="s">
        <v>399</v>
      </c>
      <c r="L339">
        <v>1296</v>
      </c>
      <c r="N339">
        <v>1002</v>
      </c>
      <c r="O339" t="s">
        <v>365</v>
      </c>
      <c r="P339" t="s">
        <v>365</v>
      </c>
      <c r="Q339">
        <v>1</v>
      </c>
      <c r="X339">
        <v>2</v>
      </c>
      <c r="Y339">
        <v>2895.42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2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ROW(Source!A599)</f>
        <v>599</v>
      </c>
      <c r="B340">
        <v>1474090084</v>
      </c>
      <c r="C340">
        <v>1471521825</v>
      </c>
      <c r="D340">
        <v>1441819193</v>
      </c>
      <c r="E340">
        <v>15514512</v>
      </c>
      <c r="F340">
        <v>1</v>
      </c>
      <c r="G340">
        <v>15514512</v>
      </c>
      <c r="H340">
        <v>1</v>
      </c>
      <c r="I340" t="s">
        <v>355</v>
      </c>
      <c r="J340" t="s">
        <v>3</v>
      </c>
      <c r="K340" t="s">
        <v>356</v>
      </c>
      <c r="L340">
        <v>1191</v>
      </c>
      <c r="N340">
        <v>1013</v>
      </c>
      <c r="O340" t="s">
        <v>357</v>
      </c>
      <c r="P340" t="s">
        <v>357</v>
      </c>
      <c r="Q340">
        <v>1</v>
      </c>
      <c r="X340">
        <v>1.26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1</v>
      </c>
      <c r="AF340" t="s">
        <v>20</v>
      </c>
      <c r="AG340">
        <v>21.42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ROW(Source!A600)</f>
        <v>600</v>
      </c>
      <c r="B341">
        <v>1474090085</v>
      </c>
      <c r="C341">
        <v>1471521836</v>
      </c>
      <c r="D341">
        <v>1441819193</v>
      </c>
      <c r="E341">
        <v>15514512</v>
      </c>
      <c r="F341">
        <v>1</v>
      </c>
      <c r="G341">
        <v>15514512</v>
      </c>
      <c r="H341">
        <v>1</v>
      </c>
      <c r="I341" t="s">
        <v>355</v>
      </c>
      <c r="J341" t="s">
        <v>3</v>
      </c>
      <c r="K341" t="s">
        <v>356</v>
      </c>
      <c r="L341">
        <v>1191</v>
      </c>
      <c r="N341">
        <v>1013</v>
      </c>
      <c r="O341" t="s">
        <v>357</v>
      </c>
      <c r="P341" t="s">
        <v>357</v>
      </c>
      <c r="Q341">
        <v>1</v>
      </c>
      <c r="X341">
        <v>0.23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1</v>
      </c>
      <c r="AF341" t="s">
        <v>27</v>
      </c>
      <c r="AG341">
        <v>7.82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ROW(Source!A601)</f>
        <v>601</v>
      </c>
      <c r="B342">
        <v>1474090086</v>
      </c>
      <c r="C342">
        <v>1471521841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355</v>
      </c>
      <c r="J342" t="s">
        <v>3</v>
      </c>
      <c r="K342" t="s">
        <v>356</v>
      </c>
      <c r="L342">
        <v>1191</v>
      </c>
      <c r="N342">
        <v>1013</v>
      </c>
      <c r="O342" t="s">
        <v>357</v>
      </c>
      <c r="P342" t="s">
        <v>357</v>
      </c>
      <c r="Q342">
        <v>1</v>
      </c>
      <c r="X342">
        <v>104.44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3</v>
      </c>
      <c r="AG342">
        <v>104.44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ROW(Source!A601)</f>
        <v>601</v>
      </c>
      <c r="B343">
        <v>1474090087</v>
      </c>
      <c r="C343">
        <v>1471521841</v>
      </c>
      <c r="D343">
        <v>1441834334</v>
      </c>
      <c r="E343">
        <v>1</v>
      </c>
      <c r="F343">
        <v>1</v>
      </c>
      <c r="G343">
        <v>15514512</v>
      </c>
      <c r="H343">
        <v>2</v>
      </c>
      <c r="I343" t="s">
        <v>358</v>
      </c>
      <c r="J343" t="s">
        <v>359</v>
      </c>
      <c r="K343" t="s">
        <v>360</v>
      </c>
      <c r="L343">
        <v>1368</v>
      </c>
      <c r="N343">
        <v>1011</v>
      </c>
      <c r="O343" t="s">
        <v>361</v>
      </c>
      <c r="P343" t="s">
        <v>361</v>
      </c>
      <c r="Q343">
        <v>1</v>
      </c>
      <c r="X343">
        <v>5.8</v>
      </c>
      <c r="Y343">
        <v>0</v>
      </c>
      <c r="Z343">
        <v>10.66</v>
      </c>
      <c r="AA343">
        <v>0.12</v>
      </c>
      <c r="AB343">
        <v>0</v>
      </c>
      <c r="AC343">
        <v>0</v>
      </c>
      <c r="AD343">
        <v>1</v>
      </c>
      <c r="AE343">
        <v>0</v>
      </c>
      <c r="AF343" t="s">
        <v>3</v>
      </c>
      <c r="AG343">
        <v>5.8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ROW(Source!A601)</f>
        <v>601</v>
      </c>
      <c r="B344">
        <v>1474090089</v>
      </c>
      <c r="C344">
        <v>1471521841</v>
      </c>
      <c r="D344">
        <v>1441834443</v>
      </c>
      <c r="E344">
        <v>1</v>
      </c>
      <c r="F344">
        <v>1</v>
      </c>
      <c r="G344">
        <v>15514512</v>
      </c>
      <c r="H344">
        <v>3</v>
      </c>
      <c r="I344" t="s">
        <v>362</v>
      </c>
      <c r="J344" t="s">
        <v>363</v>
      </c>
      <c r="K344" t="s">
        <v>364</v>
      </c>
      <c r="L344">
        <v>1296</v>
      </c>
      <c r="N344">
        <v>1002</v>
      </c>
      <c r="O344" t="s">
        <v>365</v>
      </c>
      <c r="P344" t="s">
        <v>365</v>
      </c>
      <c r="Q344">
        <v>1</v>
      </c>
      <c r="X344">
        <v>0.31</v>
      </c>
      <c r="Y344">
        <v>785.72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3</v>
      </c>
      <c r="AG344">
        <v>0.31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ROW(Source!A601)</f>
        <v>601</v>
      </c>
      <c r="B345">
        <v>1474090090</v>
      </c>
      <c r="C345">
        <v>1471521841</v>
      </c>
      <c r="D345">
        <v>1441821225</v>
      </c>
      <c r="E345">
        <v>15514512</v>
      </c>
      <c r="F345">
        <v>1</v>
      </c>
      <c r="G345">
        <v>15514512</v>
      </c>
      <c r="H345">
        <v>3</v>
      </c>
      <c r="I345" t="s">
        <v>366</v>
      </c>
      <c r="J345" t="s">
        <v>3</v>
      </c>
      <c r="K345" t="s">
        <v>367</v>
      </c>
      <c r="L345">
        <v>1346</v>
      </c>
      <c r="N345">
        <v>1009</v>
      </c>
      <c r="O345" t="s">
        <v>368</v>
      </c>
      <c r="P345" t="s">
        <v>368</v>
      </c>
      <c r="Q345">
        <v>1</v>
      </c>
      <c r="X345">
        <v>1.08</v>
      </c>
      <c r="Y345">
        <v>292.57515999999998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3</v>
      </c>
      <c r="AG345">
        <v>1.08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ROW(Source!A601)</f>
        <v>601</v>
      </c>
      <c r="B346">
        <v>1474090088</v>
      </c>
      <c r="C346">
        <v>1471521841</v>
      </c>
      <c r="D346">
        <v>1441821223</v>
      </c>
      <c r="E346">
        <v>15514512</v>
      </c>
      <c r="F346">
        <v>1</v>
      </c>
      <c r="G346">
        <v>15514512</v>
      </c>
      <c r="H346">
        <v>3</v>
      </c>
      <c r="I346" t="s">
        <v>369</v>
      </c>
      <c r="J346" t="s">
        <v>3</v>
      </c>
      <c r="K346" t="s">
        <v>370</v>
      </c>
      <c r="L346">
        <v>1346</v>
      </c>
      <c r="N346">
        <v>1009</v>
      </c>
      <c r="O346" t="s">
        <v>368</v>
      </c>
      <c r="P346" t="s">
        <v>368</v>
      </c>
      <c r="Q346">
        <v>1</v>
      </c>
      <c r="X346">
        <v>0.98</v>
      </c>
      <c r="Y346">
        <v>221.4237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</v>
      </c>
      <c r="AG346">
        <v>0.98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ROW(Source!A602)</f>
        <v>602</v>
      </c>
      <c r="B347">
        <v>1474090091</v>
      </c>
      <c r="C347">
        <v>1471521863</v>
      </c>
      <c r="D347">
        <v>1441819193</v>
      </c>
      <c r="E347">
        <v>15514512</v>
      </c>
      <c r="F347">
        <v>1</v>
      </c>
      <c r="G347">
        <v>15514512</v>
      </c>
      <c r="H347">
        <v>1</v>
      </c>
      <c r="I347" t="s">
        <v>355</v>
      </c>
      <c r="J347" t="s">
        <v>3</v>
      </c>
      <c r="K347" t="s">
        <v>356</v>
      </c>
      <c r="L347">
        <v>1191</v>
      </c>
      <c r="N347">
        <v>1013</v>
      </c>
      <c r="O347" t="s">
        <v>357</v>
      </c>
      <c r="P347" t="s">
        <v>357</v>
      </c>
      <c r="Q347">
        <v>1</v>
      </c>
      <c r="X347">
        <v>151.93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1</v>
      </c>
      <c r="AF347" t="s">
        <v>3</v>
      </c>
      <c r="AG347">
        <v>151.93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ROW(Source!A602)</f>
        <v>602</v>
      </c>
      <c r="B348">
        <v>1474090092</v>
      </c>
      <c r="C348">
        <v>1471521863</v>
      </c>
      <c r="D348">
        <v>1441834334</v>
      </c>
      <c r="E348">
        <v>1</v>
      </c>
      <c r="F348">
        <v>1</v>
      </c>
      <c r="G348">
        <v>15514512</v>
      </c>
      <c r="H348">
        <v>2</v>
      </c>
      <c r="I348" t="s">
        <v>358</v>
      </c>
      <c r="J348" t="s">
        <v>359</v>
      </c>
      <c r="K348" t="s">
        <v>360</v>
      </c>
      <c r="L348">
        <v>1368</v>
      </c>
      <c r="N348">
        <v>1011</v>
      </c>
      <c r="O348" t="s">
        <v>361</v>
      </c>
      <c r="P348" t="s">
        <v>361</v>
      </c>
      <c r="Q348">
        <v>1</v>
      </c>
      <c r="X348">
        <v>5.8</v>
      </c>
      <c r="Y348">
        <v>0</v>
      </c>
      <c r="Z348">
        <v>10.66</v>
      </c>
      <c r="AA348">
        <v>0.12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5.8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ROW(Source!A602)</f>
        <v>602</v>
      </c>
      <c r="B349">
        <v>1474090094</v>
      </c>
      <c r="C349">
        <v>1471521863</v>
      </c>
      <c r="D349">
        <v>1441834443</v>
      </c>
      <c r="E349">
        <v>1</v>
      </c>
      <c r="F349">
        <v>1</v>
      </c>
      <c r="G349">
        <v>15514512</v>
      </c>
      <c r="H349">
        <v>3</v>
      </c>
      <c r="I349" t="s">
        <v>362</v>
      </c>
      <c r="J349" t="s">
        <v>363</v>
      </c>
      <c r="K349" t="s">
        <v>364</v>
      </c>
      <c r="L349">
        <v>1296</v>
      </c>
      <c r="N349">
        <v>1002</v>
      </c>
      <c r="O349" t="s">
        <v>365</v>
      </c>
      <c r="P349" t="s">
        <v>365</v>
      </c>
      <c r="Q349">
        <v>1</v>
      </c>
      <c r="X349">
        <v>0.31</v>
      </c>
      <c r="Y349">
        <v>785.72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</v>
      </c>
      <c r="AG349">
        <v>0.31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ROW(Source!A602)</f>
        <v>602</v>
      </c>
      <c r="B350">
        <v>1474090095</v>
      </c>
      <c r="C350">
        <v>1471521863</v>
      </c>
      <c r="D350">
        <v>1441821225</v>
      </c>
      <c r="E350">
        <v>15514512</v>
      </c>
      <c r="F350">
        <v>1</v>
      </c>
      <c r="G350">
        <v>15514512</v>
      </c>
      <c r="H350">
        <v>3</v>
      </c>
      <c r="I350" t="s">
        <v>366</v>
      </c>
      <c r="J350" t="s">
        <v>3</v>
      </c>
      <c r="K350" t="s">
        <v>367</v>
      </c>
      <c r="L350">
        <v>1346</v>
      </c>
      <c r="N350">
        <v>1009</v>
      </c>
      <c r="O350" t="s">
        <v>368</v>
      </c>
      <c r="P350" t="s">
        <v>368</v>
      </c>
      <c r="Q350">
        <v>1</v>
      </c>
      <c r="X350">
        <v>1.08</v>
      </c>
      <c r="Y350">
        <v>292.57515999999998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1.08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ROW(Source!A602)</f>
        <v>602</v>
      </c>
      <c r="B351">
        <v>1474090093</v>
      </c>
      <c r="C351">
        <v>1471521863</v>
      </c>
      <c r="D351">
        <v>1441821223</v>
      </c>
      <c r="E351">
        <v>15514512</v>
      </c>
      <c r="F351">
        <v>1</v>
      </c>
      <c r="G351">
        <v>15514512</v>
      </c>
      <c r="H351">
        <v>3</v>
      </c>
      <c r="I351" t="s">
        <v>369</v>
      </c>
      <c r="J351" t="s">
        <v>3</v>
      </c>
      <c r="K351" t="s">
        <v>370</v>
      </c>
      <c r="L351">
        <v>1346</v>
      </c>
      <c r="N351">
        <v>1009</v>
      </c>
      <c r="O351" t="s">
        <v>368</v>
      </c>
      <c r="P351" t="s">
        <v>368</v>
      </c>
      <c r="Q351">
        <v>1</v>
      </c>
      <c r="X351">
        <v>0.98</v>
      </c>
      <c r="Y351">
        <v>221.4237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0.98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ROW(Source!A603)</f>
        <v>603</v>
      </c>
      <c r="B352">
        <v>1474090096</v>
      </c>
      <c r="C352">
        <v>1471521892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355</v>
      </c>
      <c r="J352" t="s">
        <v>3</v>
      </c>
      <c r="K352" t="s">
        <v>356</v>
      </c>
      <c r="L352">
        <v>1191</v>
      </c>
      <c r="N352">
        <v>1013</v>
      </c>
      <c r="O352" t="s">
        <v>357</v>
      </c>
      <c r="P352" t="s">
        <v>357</v>
      </c>
      <c r="Q352">
        <v>1</v>
      </c>
      <c r="X352">
        <v>0.82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1</v>
      </c>
      <c r="AF352" t="s">
        <v>57</v>
      </c>
      <c r="AG352">
        <v>3.28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ROW(Source!A604)</f>
        <v>604</v>
      </c>
      <c r="B353">
        <v>1474090097</v>
      </c>
      <c r="C353">
        <v>1471521898</v>
      </c>
      <c r="D353">
        <v>1441819193</v>
      </c>
      <c r="E353">
        <v>15514512</v>
      </c>
      <c r="F353">
        <v>1</v>
      </c>
      <c r="G353">
        <v>15514512</v>
      </c>
      <c r="H353">
        <v>1</v>
      </c>
      <c r="I353" t="s">
        <v>355</v>
      </c>
      <c r="J353" t="s">
        <v>3</v>
      </c>
      <c r="K353" t="s">
        <v>356</v>
      </c>
      <c r="L353">
        <v>1191</v>
      </c>
      <c r="N353">
        <v>1013</v>
      </c>
      <c r="O353" t="s">
        <v>357</v>
      </c>
      <c r="P353" t="s">
        <v>357</v>
      </c>
      <c r="Q353">
        <v>1</v>
      </c>
      <c r="X353">
        <v>0.37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1</v>
      </c>
      <c r="AF353" t="s">
        <v>3</v>
      </c>
      <c r="AG353">
        <v>0.37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ROW(Source!A604)</f>
        <v>604</v>
      </c>
      <c r="B354">
        <v>1474090098</v>
      </c>
      <c r="C354">
        <v>1471521898</v>
      </c>
      <c r="D354">
        <v>1441834258</v>
      </c>
      <c r="E354">
        <v>1</v>
      </c>
      <c r="F354">
        <v>1</v>
      </c>
      <c r="G354">
        <v>15514512</v>
      </c>
      <c r="H354">
        <v>2</v>
      </c>
      <c r="I354" t="s">
        <v>371</v>
      </c>
      <c r="J354" t="s">
        <v>372</v>
      </c>
      <c r="K354" t="s">
        <v>373</v>
      </c>
      <c r="L354">
        <v>1368</v>
      </c>
      <c r="N354">
        <v>1011</v>
      </c>
      <c r="O354" t="s">
        <v>361</v>
      </c>
      <c r="P354" t="s">
        <v>361</v>
      </c>
      <c r="Q354">
        <v>1</v>
      </c>
      <c r="X354">
        <v>0.06</v>
      </c>
      <c r="Y354">
        <v>0</v>
      </c>
      <c r="Z354">
        <v>1303.01</v>
      </c>
      <c r="AA354">
        <v>826.2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0.06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ROW(Source!A605)</f>
        <v>605</v>
      </c>
      <c r="B355">
        <v>1474090099</v>
      </c>
      <c r="C355">
        <v>1471521921</v>
      </c>
      <c r="D355">
        <v>1441819193</v>
      </c>
      <c r="E355">
        <v>15514512</v>
      </c>
      <c r="F355">
        <v>1</v>
      </c>
      <c r="G355">
        <v>15514512</v>
      </c>
      <c r="H355">
        <v>1</v>
      </c>
      <c r="I355" t="s">
        <v>355</v>
      </c>
      <c r="J355" t="s">
        <v>3</v>
      </c>
      <c r="K355" t="s">
        <v>356</v>
      </c>
      <c r="L355">
        <v>1191</v>
      </c>
      <c r="N355">
        <v>1013</v>
      </c>
      <c r="O355" t="s">
        <v>357</v>
      </c>
      <c r="P355" t="s">
        <v>357</v>
      </c>
      <c r="Q355">
        <v>1</v>
      </c>
      <c r="X355">
        <v>26.7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1</v>
      </c>
      <c r="AF355" t="s">
        <v>3</v>
      </c>
      <c r="AG355">
        <v>26.7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ROW(Source!A606)</f>
        <v>606</v>
      </c>
      <c r="B356">
        <v>1474090100</v>
      </c>
      <c r="C356">
        <v>1471521926</v>
      </c>
      <c r="D356">
        <v>1441819193</v>
      </c>
      <c r="E356">
        <v>15514512</v>
      </c>
      <c r="F356">
        <v>1</v>
      </c>
      <c r="G356">
        <v>15514512</v>
      </c>
      <c r="H356">
        <v>1</v>
      </c>
      <c r="I356" t="s">
        <v>355</v>
      </c>
      <c r="J356" t="s">
        <v>3</v>
      </c>
      <c r="K356" t="s">
        <v>356</v>
      </c>
      <c r="L356">
        <v>1191</v>
      </c>
      <c r="N356">
        <v>1013</v>
      </c>
      <c r="O356" t="s">
        <v>357</v>
      </c>
      <c r="P356" t="s">
        <v>357</v>
      </c>
      <c r="Q356">
        <v>1</v>
      </c>
      <c r="X356">
        <v>28.02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3</v>
      </c>
      <c r="AG356">
        <v>28.02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ROW(Source!A606)</f>
        <v>606</v>
      </c>
      <c r="B357">
        <v>1474090101</v>
      </c>
      <c r="C357">
        <v>1471521926</v>
      </c>
      <c r="D357">
        <v>1441834443</v>
      </c>
      <c r="E357">
        <v>1</v>
      </c>
      <c r="F357">
        <v>1</v>
      </c>
      <c r="G357">
        <v>15514512</v>
      </c>
      <c r="H357">
        <v>3</v>
      </c>
      <c r="I357" t="s">
        <v>362</v>
      </c>
      <c r="J357" t="s">
        <v>363</v>
      </c>
      <c r="K357" t="s">
        <v>364</v>
      </c>
      <c r="L357">
        <v>1296</v>
      </c>
      <c r="N357">
        <v>1002</v>
      </c>
      <c r="O357" t="s">
        <v>365</v>
      </c>
      <c r="P357" t="s">
        <v>365</v>
      </c>
      <c r="Q357">
        <v>1</v>
      </c>
      <c r="X357">
        <v>0.31</v>
      </c>
      <c r="Y357">
        <v>785.72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0.31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ROW(Source!A607)</f>
        <v>607</v>
      </c>
      <c r="B358">
        <v>1474090102</v>
      </c>
      <c r="C358">
        <v>1471521934</v>
      </c>
      <c r="D358">
        <v>1441819193</v>
      </c>
      <c r="E358">
        <v>15514512</v>
      </c>
      <c r="F358">
        <v>1</v>
      </c>
      <c r="G358">
        <v>15514512</v>
      </c>
      <c r="H358">
        <v>1</v>
      </c>
      <c r="I358" t="s">
        <v>355</v>
      </c>
      <c r="J358" t="s">
        <v>3</v>
      </c>
      <c r="K358" t="s">
        <v>356</v>
      </c>
      <c r="L358">
        <v>1191</v>
      </c>
      <c r="N358">
        <v>1013</v>
      </c>
      <c r="O358" t="s">
        <v>357</v>
      </c>
      <c r="P358" t="s">
        <v>357</v>
      </c>
      <c r="Q358">
        <v>1</v>
      </c>
      <c r="X358">
        <v>0.13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1</v>
      </c>
      <c r="AF358" t="s">
        <v>57</v>
      </c>
      <c r="AG358">
        <v>0.52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ROW(Source!A608)</f>
        <v>608</v>
      </c>
      <c r="B359">
        <v>1474090103</v>
      </c>
      <c r="C359">
        <v>1471521946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355</v>
      </c>
      <c r="J359" t="s">
        <v>3</v>
      </c>
      <c r="K359" t="s">
        <v>356</v>
      </c>
      <c r="L359">
        <v>1191</v>
      </c>
      <c r="N359">
        <v>1013</v>
      </c>
      <c r="O359" t="s">
        <v>357</v>
      </c>
      <c r="P359" t="s">
        <v>357</v>
      </c>
      <c r="Q359">
        <v>1</v>
      </c>
      <c r="X359">
        <v>29.54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1</v>
      </c>
      <c r="AF359" t="s">
        <v>3</v>
      </c>
      <c r="AG359">
        <v>29.54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ROW(Source!A608)</f>
        <v>608</v>
      </c>
      <c r="B360">
        <v>1474090104</v>
      </c>
      <c r="C360">
        <v>1471521946</v>
      </c>
      <c r="D360">
        <v>1441835469</v>
      </c>
      <c r="E360">
        <v>1</v>
      </c>
      <c r="F360">
        <v>1</v>
      </c>
      <c r="G360">
        <v>15514512</v>
      </c>
      <c r="H360">
        <v>3</v>
      </c>
      <c r="I360" t="s">
        <v>374</v>
      </c>
      <c r="J360" t="s">
        <v>375</v>
      </c>
      <c r="K360" t="s">
        <v>376</v>
      </c>
      <c r="L360">
        <v>1348</v>
      </c>
      <c r="N360">
        <v>1009</v>
      </c>
      <c r="O360" t="s">
        <v>377</v>
      </c>
      <c r="P360" t="s">
        <v>377</v>
      </c>
      <c r="Q360">
        <v>1000</v>
      </c>
      <c r="X360">
        <v>5.0000000000000001E-3</v>
      </c>
      <c r="Y360">
        <v>163237.26999999999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5.0000000000000001E-3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ROW(Source!A608)</f>
        <v>608</v>
      </c>
      <c r="B361">
        <v>1474090105</v>
      </c>
      <c r="C361">
        <v>1471521946</v>
      </c>
      <c r="D361">
        <v>1441836514</v>
      </c>
      <c r="E361">
        <v>1</v>
      </c>
      <c r="F361">
        <v>1</v>
      </c>
      <c r="G361">
        <v>15514512</v>
      </c>
      <c r="H361">
        <v>3</v>
      </c>
      <c r="I361" t="s">
        <v>378</v>
      </c>
      <c r="J361" t="s">
        <v>379</v>
      </c>
      <c r="K361" t="s">
        <v>380</v>
      </c>
      <c r="L361">
        <v>1339</v>
      </c>
      <c r="N361">
        <v>1007</v>
      </c>
      <c r="O361" t="s">
        <v>381</v>
      </c>
      <c r="P361" t="s">
        <v>381</v>
      </c>
      <c r="Q361">
        <v>1</v>
      </c>
      <c r="X361">
        <v>7.8</v>
      </c>
      <c r="Y361">
        <v>54.81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</v>
      </c>
      <c r="AG361">
        <v>7.8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ROW(Source!A608)</f>
        <v>608</v>
      </c>
      <c r="B362">
        <v>1474090106</v>
      </c>
      <c r="C362">
        <v>1471521946</v>
      </c>
      <c r="D362">
        <v>1441847238</v>
      </c>
      <c r="E362">
        <v>1</v>
      </c>
      <c r="F362">
        <v>1</v>
      </c>
      <c r="G362">
        <v>15514512</v>
      </c>
      <c r="H362">
        <v>3</v>
      </c>
      <c r="I362" t="s">
        <v>382</v>
      </c>
      <c r="J362" t="s">
        <v>383</v>
      </c>
      <c r="K362" t="s">
        <v>384</v>
      </c>
      <c r="L362">
        <v>1346</v>
      </c>
      <c r="N362">
        <v>1009</v>
      </c>
      <c r="O362" t="s">
        <v>368</v>
      </c>
      <c r="P362" t="s">
        <v>368</v>
      </c>
      <c r="Q362">
        <v>1</v>
      </c>
      <c r="X362">
        <v>2</v>
      </c>
      <c r="Y362">
        <v>742.26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</v>
      </c>
      <c r="AG362">
        <v>2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ROW(Source!A609)</f>
        <v>609</v>
      </c>
      <c r="B363">
        <v>1474090107</v>
      </c>
      <c r="C363">
        <v>1471521991</v>
      </c>
      <c r="D363">
        <v>1441819193</v>
      </c>
      <c r="E363">
        <v>15514512</v>
      </c>
      <c r="F363">
        <v>1</v>
      </c>
      <c r="G363">
        <v>15514512</v>
      </c>
      <c r="H363">
        <v>1</v>
      </c>
      <c r="I363" t="s">
        <v>355</v>
      </c>
      <c r="J363" t="s">
        <v>3</v>
      </c>
      <c r="K363" t="s">
        <v>356</v>
      </c>
      <c r="L363">
        <v>1191</v>
      </c>
      <c r="N363">
        <v>1013</v>
      </c>
      <c r="O363" t="s">
        <v>357</v>
      </c>
      <c r="P363" t="s">
        <v>357</v>
      </c>
      <c r="Q363">
        <v>1</v>
      </c>
      <c r="X363">
        <v>2.04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1</v>
      </c>
      <c r="AF363" t="s">
        <v>253</v>
      </c>
      <c r="AG363">
        <v>4.08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ROW(Source!A610)</f>
        <v>610</v>
      </c>
      <c r="B364">
        <v>1474090108</v>
      </c>
      <c r="C364">
        <v>1471521996</v>
      </c>
      <c r="D364">
        <v>1441819193</v>
      </c>
      <c r="E364">
        <v>15514512</v>
      </c>
      <c r="F364">
        <v>1</v>
      </c>
      <c r="G364">
        <v>15514512</v>
      </c>
      <c r="H364">
        <v>1</v>
      </c>
      <c r="I364" t="s">
        <v>355</v>
      </c>
      <c r="J364" t="s">
        <v>3</v>
      </c>
      <c r="K364" t="s">
        <v>356</v>
      </c>
      <c r="L364">
        <v>1191</v>
      </c>
      <c r="N364">
        <v>1013</v>
      </c>
      <c r="O364" t="s">
        <v>357</v>
      </c>
      <c r="P364" t="s">
        <v>357</v>
      </c>
      <c r="Q364">
        <v>1</v>
      </c>
      <c r="X364">
        <v>0.9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1</v>
      </c>
      <c r="AF364" t="s">
        <v>69</v>
      </c>
      <c r="AG364">
        <v>7.2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ROW(Source!A611)</f>
        <v>611</v>
      </c>
      <c r="B365">
        <v>1474090109</v>
      </c>
      <c r="C365">
        <v>1471522005</v>
      </c>
      <c r="D365">
        <v>1441819193</v>
      </c>
      <c r="E365">
        <v>15514512</v>
      </c>
      <c r="F365">
        <v>1</v>
      </c>
      <c r="G365">
        <v>15514512</v>
      </c>
      <c r="H365">
        <v>1</v>
      </c>
      <c r="I365" t="s">
        <v>355</v>
      </c>
      <c r="J365" t="s">
        <v>3</v>
      </c>
      <c r="K365" t="s">
        <v>356</v>
      </c>
      <c r="L365">
        <v>1191</v>
      </c>
      <c r="N365">
        <v>1013</v>
      </c>
      <c r="O365" t="s">
        <v>357</v>
      </c>
      <c r="P365" t="s">
        <v>357</v>
      </c>
      <c r="Q365">
        <v>1</v>
      </c>
      <c r="X365">
        <v>4.84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1</v>
      </c>
      <c r="AF365" t="s">
        <v>69</v>
      </c>
      <c r="AG365">
        <v>38.72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ROW(Source!A612)</f>
        <v>612</v>
      </c>
      <c r="B366">
        <v>1474090110</v>
      </c>
      <c r="C366">
        <v>1471522024</v>
      </c>
      <c r="D366">
        <v>1441819193</v>
      </c>
      <c r="E366">
        <v>15514512</v>
      </c>
      <c r="F366">
        <v>1</v>
      </c>
      <c r="G366">
        <v>15514512</v>
      </c>
      <c r="H366">
        <v>1</v>
      </c>
      <c r="I366" t="s">
        <v>355</v>
      </c>
      <c r="J366" t="s">
        <v>3</v>
      </c>
      <c r="K366" t="s">
        <v>356</v>
      </c>
      <c r="L366">
        <v>1191</v>
      </c>
      <c r="N366">
        <v>1013</v>
      </c>
      <c r="O366" t="s">
        <v>357</v>
      </c>
      <c r="P366" t="s">
        <v>357</v>
      </c>
      <c r="Q366">
        <v>1</v>
      </c>
      <c r="X366">
        <v>0.37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1</v>
      </c>
      <c r="AF366" t="s">
        <v>3</v>
      </c>
      <c r="AG366">
        <v>0.37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ROW(Source!A612)</f>
        <v>612</v>
      </c>
      <c r="B367">
        <v>1474090111</v>
      </c>
      <c r="C367">
        <v>1471522024</v>
      </c>
      <c r="D367">
        <v>1441834258</v>
      </c>
      <c r="E367">
        <v>1</v>
      </c>
      <c r="F367">
        <v>1</v>
      </c>
      <c r="G367">
        <v>15514512</v>
      </c>
      <c r="H367">
        <v>2</v>
      </c>
      <c r="I367" t="s">
        <v>371</v>
      </c>
      <c r="J367" t="s">
        <v>372</v>
      </c>
      <c r="K367" t="s">
        <v>373</v>
      </c>
      <c r="L367">
        <v>1368</v>
      </c>
      <c r="N367">
        <v>1011</v>
      </c>
      <c r="O367" t="s">
        <v>361</v>
      </c>
      <c r="P367" t="s">
        <v>361</v>
      </c>
      <c r="Q367">
        <v>1</v>
      </c>
      <c r="X367">
        <v>0.06</v>
      </c>
      <c r="Y367">
        <v>0</v>
      </c>
      <c r="Z367">
        <v>1303.01</v>
      </c>
      <c r="AA367">
        <v>826.2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0.06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ROW(Source!A613)</f>
        <v>613</v>
      </c>
      <c r="B368">
        <v>1474090112</v>
      </c>
      <c r="C368">
        <v>1471522032</v>
      </c>
      <c r="D368">
        <v>1441819193</v>
      </c>
      <c r="E368">
        <v>15514512</v>
      </c>
      <c r="F368">
        <v>1</v>
      </c>
      <c r="G368">
        <v>15514512</v>
      </c>
      <c r="H368">
        <v>1</v>
      </c>
      <c r="I368" t="s">
        <v>355</v>
      </c>
      <c r="J368" t="s">
        <v>3</v>
      </c>
      <c r="K368" t="s">
        <v>356</v>
      </c>
      <c r="L368">
        <v>1191</v>
      </c>
      <c r="N368">
        <v>1013</v>
      </c>
      <c r="O368" t="s">
        <v>357</v>
      </c>
      <c r="P368" t="s">
        <v>357</v>
      </c>
      <c r="Q368">
        <v>1</v>
      </c>
      <c r="X368">
        <v>0.61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1</v>
      </c>
      <c r="AF368" t="s">
        <v>253</v>
      </c>
      <c r="AG368">
        <v>1.22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ROW(Source!A614)</f>
        <v>614</v>
      </c>
      <c r="B369">
        <v>1474090113</v>
      </c>
      <c r="C369">
        <v>1471522039</v>
      </c>
      <c r="D369">
        <v>1441819193</v>
      </c>
      <c r="E369">
        <v>15514512</v>
      </c>
      <c r="F369">
        <v>1</v>
      </c>
      <c r="G369">
        <v>15514512</v>
      </c>
      <c r="H369">
        <v>1</v>
      </c>
      <c r="I369" t="s">
        <v>355</v>
      </c>
      <c r="J369" t="s">
        <v>3</v>
      </c>
      <c r="K369" t="s">
        <v>356</v>
      </c>
      <c r="L369">
        <v>1191</v>
      </c>
      <c r="N369">
        <v>1013</v>
      </c>
      <c r="O369" t="s">
        <v>357</v>
      </c>
      <c r="P369" t="s">
        <v>357</v>
      </c>
      <c r="Q369">
        <v>1</v>
      </c>
      <c r="X369">
        <v>13.9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1</v>
      </c>
      <c r="AF369" t="s">
        <v>82</v>
      </c>
      <c r="AG369">
        <v>3405.5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ROW(Source!A614)</f>
        <v>614</v>
      </c>
      <c r="B370">
        <v>1474090114</v>
      </c>
      <c r="C370">
        <v>1471522039</v>
      </c>
      <c r="D370">
        <v>1441836372</v>
      </c>
      <c r="E370">
        <v>1</v>
      </c>
      <c r="F370">
        <v>1</v>
      </c>
      <c r="G370">
        <v>15514512</v>
      </c>
      <c r="H370">
        <v>3</v>
      </c>
      <c r="I370" t="s">
        <v>385</v>
      </c>
      <c r="J370" t="s">
        <v>386</v>
      </c>
      <c r="K370" t="s">
        <v>387</v>
      </c>
      <c r="L370">
        <v>1296</v>
      </c>
      <c r="N370">
        <v>1002</v>
      </c>
      <c r="O370" t="s">
        <v>365</v>
      </c>
      <c r="P370" t="s">
        <v>365</v>
      </c>
      <c r="Q370">
        <v>1</v>
      </c>
      <c r="X370">
        <v>0.5</v>
      </c>
      <c r="Y370">
        <v>111.42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82</v>
      </c>
      <c r="AG370">
        <v>122.5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ROW(Source!A614)</f>
        <v>614</v>
      </c>
      <c r="B371">
        <v>1474090115</v>
      </c>
      <c r="C371">
        <v>1471522039</v>
      </c>
      <c r="D371">
        <v>1441836514</v>
      </c>
      <c r="E371">
        <v>1</v>
      </c>
      <c r="F371">
        <v>1</v>
      </c>
      <c r="G371">
        <v>15514512</v>
      </c>
      <c r="H371">
        <v>3</v>
      </c>
      <c r="I371" t="s">
        <v>378</v>
      </c>
      <c r="J371" t="s">
        <v>379</v>
      </c>
      <c r="K371" t="s">
        <v>380</v>
      </c>
      <c r="L371">
        <v>1339</v>
      </c>
      <c r="N371">
        <v>1007</v>
      </c>
      <c r="O371" t="s">
        <v>381</v>
      </c>
      <c r="P371" t="s">
        <v>381</v>
      </c>
      <c r="Q371">
        <v>1</v>
      </c>
      <c r="X371">
        <v>0.01</v>
      </c>
      <c r="Y371">
        <v>54.81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82</v>
      </c>
      <c r="AG371">
        <v>2.4500000000000002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ROW(Source!A615)</f>
        <v>615</v>
      </c>
      <c r="B372">
        <v>1474090116</v>
      </c>
      <c r="C372">
        <v>1471522051</v>
      </c>
      <c r="D372">
        <v>1441819193</v>
      </c>
      <c r="E372">
        <v>15514512</v>
      </c>
      <c r="F372">
        <v>1</v>
      </c>
      <c r="G372">
        <v>15514512</v>
      </c>
      <c r="H372">
        <v>1</v>
      </c>
      <c r="I372" t="s">
        <v>355</v>
      </c>
      <c r="J372" t="s">
        <v>3</v>
      </c>
      <c r="K372" t="s">
        <v>356</v>
      </c>
      <c r="L372">
        <v>1191</v>
      </c>
      <c r="N372">
        <v>1013</v>
      </c>
      <c r="O372" t="s">
        <v>357</v>
      </c>
      <c r="P372" t="s">
        <v>357</v>
      </c>
      <c r="Q372">
        <v>1</v>
      </c>
      <c r="X372">
        <v>8.15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1</v>
      </c>
      <c r="AF372" t="s">
        <v>82</v>
      </c>
      <c r="AG372">
        <v>1996.75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ROW(Source!A615)</f>
        <v>615</v>
      </c>
      <c r="B373">
        <v>1474090117</v>
      </c>
      <c r="C373">
        <v>1471522051</v>
      </c>
      <c r="D373">
        <v>1441836372</v>
      </c>
      <c r="E373">
        <v>1</v>
      </c>
      <c r="F373">
        <v>1</v>
      </c>
      <c r="G373">
        <v>15514512</v>
      </c>
      <c r="H373">
        <v>3</v>
      </c>
      <c r="I373" t="s">
        <v>385</v>
      </c>
      <c r="J373" t="s">
        <v>386</v>
      </c>
      <c r="K373" t="s">
        <v>387</v>
      </c>
      <c r="L373">
        <v>1296</v>
      </c>
      <c r="N373">
        <v>1002</v>
      </c>
      <c r="O373" t="s">
        <v>365</v>
      </c>
      <c r="P373" t="s">
        <v>365</v>
      </c>
      <c r="Q373">
        <v>1</v>
      </c>
      <c r="X373">
        <v>0.5</v>
      </c>
      <c r="Y373">
        <v>111.42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82</v>
      </c>
      <c r="AG373">
        <v>122.5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ROW(Source!A615)</f>
        <v>615</v>
      </c>
      <c r="B374">
        <v>1474090118</v>
      </c>
      <c r="C374">
        <v>1471522051</v>
      </c>
      <c r="D374">
        <v>1441836514</v>
      </c>
      <c r="E374">
        <v>1</v>
      </c>
      <c r="F374">
        <v>1</v>
      </c>
      <c r="G374">
        <v>15514512</v>
      </c>
      <c r="H374">
        <v>3</v>
      </c>
      <c r="I374" t="s">
        <v>378</v>
      </c>
      <c r="J374" t="s">
        <v>379</v>
      </c>
      <c r="K374" t="s">
        <v>380</v>
      </c>
      <c r="L374">
        <v>1339</v>
      </c>
      <c r="N374">
        <v>1007</v>
      </c>
      <c r="O374" t="s">
        <v>381</v>
      </c>
      <c r="P374" t="s">
        <v>381</v>
      </c>
      <c r="Q374">
        <v>1</v>
      </c>
      <c r="X374">
        <v>0.01</v>
      </c>
      <c r="Y374">
        <v>54.81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82</v>
      </c>
      <c r="AG374">
        <v>2.4500000000000002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ROW(Source!A616)</f>
        <v>616</v>
      </c>
      <c r="B375">
        <v>1474090119</v>
      </c>
      <c r="C375">
        <v>1471522069</v>
      </c>
      <c r="D375">
        <v>1441819193</v>
      </c>
      <c r="E375">
        <v>15514512</v>
      </c>
      <c r="F375">
        <v>1</v>
      </c>
      <c r="G375">
        <v>15514512</v>
      </c>
      <c r="H375">
        <v>1</v>
      </c>
      <c r="I375" t="s">
        <v>355</v>
      </c>
      <c r="J375" t="s">
        <v>3</v>
      </c>
      <c r="K375" t="s">
        <v>356</v>
      </c>
      <c r="L375">
        <v>1191</v>
      </c>
      <c r="N375">
        <v>1013</v>
      </c>
      <c r="O375" t="s">
        <v>357</v>
      </c>
      <c r="P375" t="s">
        <v>357</v>
      </c>
      <c r="Q375">
        <v>1</v>
      </c>
      <c r="X375">
        <v>8.15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1</v>
      </c>
      <c r="AF375" t="s">
        <v>82</v>
      </c>
      <c r="AG375">
        <v>1996.75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ROW(Source!A616)</f>
        <v>616</v>
      </c>
      <c r="B376">
        <v>1474090120</v>
      </c>
      <c r="C376">
        <v>1471522069</v>
      </c>
      <c r="D376">
        <v>1441836372</v>
      </c>
      <c r="E376">
        <v>1</v>
      </c>
      <c r="F376">
        <v>1</v>
      </c>
      <c r="G376">
        <v>15514512</v>
      </c>
      <c r="H376">
        <v>3</v>
      </c>
      <c r="I376" t="s">
        <v>385</v>
      </c>
      <c r="J376" t="s">
        <v>386</v>
      </c>
      <c r="K376" t="s">
        <v>387</v>
      </c>
      <c r="L376">
        <v>1296</v>
      </c>
      <c r="N376">
        <v>1002</v>
      </c>
      <c r="O376" t="s">
        <v>365</v>
      </c>
      <c r="P376" t="s">
        <v>365</v>
      </c>
      <c r="Q376">
        <v>1</v>
      </c>
      <c r="X376">
        <v>0.5</v>
      </c>
      <c r="Y376">
        <v>111.42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82</v>
      </c>
      <c r="AG376">
        <v>122.5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ROW(Source!A616)</f>
        <v>616</v>
      </c>
      <c r="B377">
        <v>1474090121</v>
      </c>
      <c r="C377">
        <v>1471522069</v>
      </c>
      <c r="D377">
        <v>1441836514</v>
      </c>
      <c r="E377">
        <v>1</v>
      </c>
      <c r="F377">
        <v>1</v>
      </c>
      <c r="G377">
        <v>15514512</v>
      </c>
      <c r="H377">
        <v>3</v>
      </c>
      <c r="I377" t="s">
        <v>378</v>
      </c>
      <c r="J377" t="s">
        <v>379</v>
      </c>
      <c r="K377" t="s">
        <v>380</v>
      </c>
      <c r="L377">
        <v>1339</v>
      </c>
      <c r="N377">
        <v>1007</v>
      </c>
      <c r="O377" t="s">
        <v>381</v>
      </c>
      <c r="P377" t="s">
        <v>381</v>
      </c>
      <c r="Q377">
        <v>1</v>
      </c>
      <c r="X377">
        <v>0.01</v>
      </c>
      <c r="Y377">
        <v>54.81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82</v>
      </c>
      <c r="AG377">
        <v>2.4500000000000002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ROW(Source!A652)</f>
        <v>652</v>
      </c>
      <c r="B378">
        <v>1474090122</v>
      </c>
      <c r="C378">
        <v>1471522090</v>
      </c>
      <c r="D378">
        <v>1441819193</v>
      </c>
      <c r="E378">
        <v>15514512</v>
      </c>
      <c r="F378">
        <v>1</v>
      </c>
      <c r="G378">
        <v>15514512</v>
      </c>
      <c r="H378">
        <v>1</v>
      </c>
      <c r="I378" t="s">
        <v>355</v>
      </c>
      <c r="J378" t="s">
        <v>3</v>
      </c>
      <c r="K378" t="s">
        <v>356</v>
      </c>
      <c r="L378">
        <v>1191</v>
      </c>
      <c r="N378">
        <v>1013</v>
      </c>
      <c r="O378" t="s">
        <v>357</v>
      </c>
      <c r="P378" t="s">
        <v>357</v>
      </c>
      <c r="Q378">
        <v>1</v>
      </c>
      <c r="X378">
        <v>1.42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3</v>
      </c>
      <c r="AG378">
        <v>1.42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ROW(Source!A652)</f>
        <v>652</v>
      </c>
      <c r="B379">
        <v>1474090123</v>
      </c>
      <c r="C379">
        <v>1471522090</v>
      </c>
      <c r="D379">
        <v>1441833954</v>
      </c>
      <c r="E379">
        <v>1</v>
      </c>
      <c r="F379">
        <v>1</v>
      </c>
      <c r="G379">
        <v>15514512</v>
      </c>
      <c r="H379">
        <v>2</v>
      </c>
      <c r="I379" t="s">
        <v>425</v>
      </c>
      <c r="J379" t="s">
        <v>426</v>
      </c>
      <c r="K379" t="s">
        <v>427</v>
      </c>
      <c r="L379">
        <v>1368</v>
      </c>
      <c r="N379">
        <v>1011</v>
      </c>
      <c r="O379" t="s">
        <v>361</v>
      </c>
      <c r="P379" t="s">
        <v>361</v>
      </c>
      <c r="Q379">
        <v>1</v>
      </c>
      <c r="X379">
        <v>0.03</v>
      </c>
      <c r="Y379">
        <v>0</v>
      </c>
      <c r="Z379">
        <v>59.51</v>
      </c>
      <c r="AA379">
        <v>0.82</v>
      </c>
      <c r="AB379">
        <v>0</v>
      </c>
      <c r="AC379">
        <v>0</v>
      </c>
      <c r="AD379">
        <v>1</v>
      </c>
      <c r="AE379">
        <v>0</v>
      </c>
      <c r="AF379" t="s">
        <v>3</v>
      </c>
      <c r="AG379">
        <v>0.03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ROW(Source!A652)</f>
        <v>652</v>
      </c>
      <c r="B380">
        <v>1474090124</v>
      </c>
      <c r="C380">
        <v>1471522090</v>
      </c>
      <c r="D380">
        <v>1441836235</v>
      </c>
      <c r="E380">
        <v>1</v>
      </c>
      <c r="F380">
        <v>1</v>
      </c>
      <c r="G380">
        <v>15514512</v>
      </c>
      <c r="H380">
        <v>3</v>
      </c>
      <c r="I380" t="s">
        <v>388</v>
      </c>
      <c r="J380" t="s">
        <v>389</v>
      </c>
      <c r="K380" t="s">
        <v>390</v>
      </c>
      <c r="L380">
        <v>1346</v>
      </c>
      <c r="N380">
        <v>1009</v>
      </c>
      <c r="O380" t="s">
        <v>368</v>
      </c>
      <c r="P380" t="s">
        <v>368</v>
      </c>
      <c r="Q380">
        <v>1</v>
      </c>
      <c r="X380">
        <v>0.01</v>
      </c>
      <c r="Y380">
        <v>31.49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</v>
      </c>
      <c r="AG380">
        <v>0.01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ROW(Source!A652)</f>
        <v>652</v>
      </c>
      <c r="B381">
        <v>1474090125</v>
      </c>
      <c r="C381">
        <v>1471522090</v>
      </c>
      <c r="D381">
        <v>1441836393</v>
      </c>
      <c r="E381">
        <v>1</v>
      </c>
      <c r="F381">
        <v>1</v>
      </c>
      <c r="G381">
        <v>15514512</v>
      </c>
      <c r="H381">
        <v>3</v>
      </c>
      <c r="I381" t="s">
        <v>428</v>
      </c>
      <c r="J381" t="s">
        <v>429</v>
      </c>
      <c r="K381" t="s">
        <v>430</v>
      </c>
      <c r="L381">
        <v>1296</v>
      </c>
      <c r="N381">
        <v>1002</v>
      </c>
      <c r="O381" t="s">
        <v>365</v>
      </c>
      <c r="P381" t="s">
        <v>365</v>
      </c>
      <c r="Q381">
        <v>1</v>
      </c>
      <c r="X381">
        <v>1E-4</v>
      </c>
      <c r="Y381">
        <v>4241.6400000000003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3</v>
      </c>
      <c r="AG381">
        <v>1E-4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ROW(Source!A653)</f>
        <v>653</v>
      </c>
      <c r="B382">
        <v>1474090127</v>
      </c>
      <c r="C382">
        <v>1471522108</v>
      </c>
      <c r="D382">
        <v>1441819193</v>
      </c>
      <c r="E382">
        <v>15514512</v>
      </c>
      <c r="F382">
        <v>1</v>
      </c>
      <c r="G382">
        <v>15514512</v>
      </c>
      <c r="H382">
        <v>1</v>
      </c>
      <c r="I382" t="s">
        <v>355</v>
      </c>
      <c r="J382" t="s">
        <v>3</v>
      </c>
      <c r="K382" t="s">
        <v>356</v>
      </c>
      <c r="L382">
        <v>1191</v>
      </c>
      <c r="N382">
        <v>1013</v>
      </c>
      <c r="O382" t="s">
        <v>357</v>
      </c>
      <c r="P382" t="s">
        <v>357</v>
      </c>
      <c r="Q382">
        <v>1</v>
      </c>
      <c r="X382">
        <v>0.78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1</v>
      </c>
      <c r="AF382" t="s">
        <v>156</v>
      </c>
      <c r="AG382">
        <v>2.34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ROW(Source!A653)</f>
        <v>653</v>
      </c>
      <c r="B383">
        <v>1474090128</v>
      </c>
      <c r="C383">
        <v>1471522108</v>
      </c>
      <c r="D383">
        <v>1441836235</v>
      </c>
      <c r="E383">
        <v>1</v>
      </c>
      <c r="F383">
        <v>1</v>
      </c>
      <c r="G383">
        <v>15514512</v>
      </c>
      <c r="H383">
        <v>3</v>
      </c>
      <c r="I383" t="s">
        <v>388</v>
      </c>
      <c r="J383" t="s">
        <v>389</v>
      </c>
      <c r="K383" t="s">
        <v>390</v>
      </c>
      <c r="L383">
        <v>1346</v>
      </c>
      <c r="N383">
        <v>1009</v>
      </c>
      <c r="O383" t="s">
        <v>368</v>
      </c>
      <c r="P383" t="s">
        <v>368</v>
      </c>
      <c r="Q383">
        <v>1</v>
      </c>
      <c r="X383">
        <v>0.01</v>
      </c>
      <c r="Y383">
        <v>31.49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156</v>
      </c>
      <c r="AG383">
        <v>0.03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ROW(Source!A654)</f>
        <v>654</v>
      </c>
      <c r="B384">
        <v>1474090129</v>
      </c>
      <c r="C384">
        <v>1471522118</v>
      </c>
      <c r="D384">
        <v>1441819193</v>
      </c>
      <c r="E384">
        <v>15514512</v>
      </c>
      <c r="F384">
        <v>1</v>
      </c>
      <c r="G384">
        <v>15514512</v>
      </c>
      <c r="H384">
        <v>1</v>
      </c>
      <c r="I384" t="s">
        <v>355</v>
      </c>
      <c r="J384" t="s">
        <v>3</v>
      </c>
      <c r="K384" t="s">
        <v>356</v>
      </c>
      <c r="L384">
        <v>1191</v>
      </c>
      <c r="N384">
        <v>1013</v>
      </c>
      <c r="O384" t="s">
        <v>357</v>
      </c>
      <c r="P384" t="s">
        <v>357</v>
      </c>
      <c r="Q384">
        <v>1</v>
      </c>
      <c r="X384">
        <v>1.86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1</v>
      </c>
      <c r="AF384" t="s">
        <v>156</v>
      </c>
      <c r="AG384">
        <v>5.58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ROW(Source!A654)</f>
        <v>654</v>
      </c>
      <c r="B385">
        <v>1474090130</v>
      </c>
      <c r="C385">
        <v>1471522118</v>
      </c>
      <c r="D385">
        <v>1441834146</v>
      </c>
      <c r="E385">
        <v>1</v>
      </c>
      <c r="F385">
        <v>1</v>
      </c>
      <c r="G385">
        <v>15514512</v>
      </c>
      <c r="H385">
        <v>2</v>
      </c>
      <c r="I385" t="s">
        <v>431</v>
      </c>
      <c r="J385" t="s">
        <v>432</v>
      </c>
      <c r="K385" t="s">
        <v>433</v>
      </c>
      <c r="L385">
        <v>1368</v>
      </c>
      <c r="N385">
        <v>1011</v>
      </c>
      <c r="O385" t="s">
        <v>361</v>
      </c>
      <c r="P385" t="s">
        <v>361</v>
      </c>
      <c r="Q385">
        <v>1</v>
      </c>
      <c r="X385">
        <v>0.17</v>
      </c>
      <c r="Y385">
        <v>0</v>
      </c>
      <c r="Z385">
        <v>20.55</v>
      </c>
      <c r="AA385">
        <v>0.31</v>
      </c>
      <c r="AB385">
        <v>0</v>
      </c>
      <c r="AC385">
        <v>0</v>
      </c>
      <c r="AD385">
        <v>1</v>
      </c>
      <c r="AE385">
        <v>0</v>
      </c>
      <c r="AF385" t="s">
        <v>156</v>
      </c>
      <c r="AG385">
        <v>0.51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ROW(Source!A654)</f>
        <v>654</v>
      </c>
      <c r="B386">
        <v>1474090131</v>
      </c>
      <c r="C386">
        <v>1471522118</v>
      </c>
      <c r="D386">
        <v>1441836235</v>
      </c>
      <c r="E386">
        <v>1</v>
      </c>
      <c r="F386">
        <v>1</v>
      </c>
      <c r="G386">
        <v>15514512</v>
      </c>
      <c r="H386">
        <v>3</v>
      </c>
      <c r="I386" t="s">
        <v>388</v>
      </c>
      <c r="J386" t="s">
        <v>389</v>
      </c>
      <c r="K386" t="s">
        <v>390</v>
      </c>
      <c r="L386">
        <v>1346</v>
      </c>
      <c r="N386">
        <v>1009</v>
      </c>
      <c r="O386" t="s">
        <v>368</v>
      </c>
      <c r="P386" t="s">
        <v>368</v>
      </c>
      <c r="Q386">
        <v>1</v>
      </c>
      <c r="X386">
        <v>0.03</v>
      </c>
      <c r="Y386">
        <v>31.49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156</v>
      </c>
      <c r="AG386">
        <v>0.09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ROW(Source!A655)</f>
        <v>655</v>
      </c>
      <c r="B387">
        <v>1474090132</v>
      </c>
      <c r="C387">
        <v>1471522145</v>
      </c>
      <c r="D387">
        <v>1441819193</v>
      </c>
      <c r="E387">
        <v>15514512</v>
      </c>
      <c r="F387">
        <v>1</v>
      </c>
      <c r="G387">
        <v>15514512</v>
      </c>
      <c r="H387">
        <v>1</v>
      </c>
      <c r="I387" t="s">
        <v>355</v>
      </c>
      <c r="J387" t="s">
        <v>3</v>
      </c>
      <c r="K387" t="s">
        <v>356</v>
      </c>
      <c r="L387">
        <v>1191</v>
      </c>
      <c r="N387">
        <v>1013</v>
      </c>
      <c r="O387" t="s">
        <v>357</v>
      </c>
      <c r="P387" t="s">
        <v>357</v>
      </c>
      <c r="Q387">
        <v>1</v>
      </c>
      <c r="X387">
        <v>2.48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1</v>
      </c>
      <c r="AF387" t="s">
        <v>3</v>
      </c>
      <c r="AG387">
        <v>2.48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ROW(Source!A655)</f>
        <v>655</v>
      </c>
      <c r="B388">
        <v>1474090133</v>
      </c>
      <c r="C388">
        <v>1471522145</v>
      </c>
      <c r="D388">
        <v>1441834146</v>
      </c>
      <c r="E388">
        <v>1</v>
      </c>
      <c r="F388">
        <v>1</v>
      </c>
      <c r="G388">
        <v>15514512</v>
      </c>
      <c r="H388">
        <v>2</v>
      </c>
      <c r="I388" t="s">
        <v>431</v>
      </c>
      <c r="J388" t="s">
        <v>432</v>
      </c>
      <c r="K388" t="s">
        <v>433</v>
      </c>
      <c r="L388">
        <v>1368</v>
      </c>
      <c r="N388">
        <v>1011</v>
      </c>
      <c r="O388" t="s">
        <v>361</v>
      </c>
      <c r="P388" t="s">
        <v>361</v>
      </c>
      <c r="Q388">
        <v>1</v>
      </c>
      <c r="X388">
        <v>0.17</v>
      </c>
      <c r="Y388">
        <v>0</v>
      </c>
      <c r="Z388">
        <v>20.55</v>
      </c>
      <c r="AA388">
        <v>0.31</v>
      </c>
      <c r="AB388">
        <v>0</v>
      </c>
      <c r="AC388">
        <v>0</v>
      </c>
      <c r="AD388">
        <v>1</v>
      </c>
      <c r="AE388">
        <v>0</v>
      </c>
      <c r="AF388" t="s">
        <v>3</v>
      </c>
      <c r="AG388">
        <v>0.17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ROW(Source!A655)</f>
        <v>655</v>
      </c>
      <c r="B389">
        <v>1474090134</v>
      </c>
      <c r="C389">
        <v>1471522145</v>
      </c>
      <c r="D389">
        <v>1441836235</v>
      </c>
      <c r="E389">
        <v>1</v>
      </c>
      <c r="F389">
        <v>1</v>
      </c>
      <c r="G389">
        <v>15514512</v>
      </c>
      <c r="H389">
        <v>3</v>
      </c>
      <c r="I389" t="s">
        <v>388</v>
      </c>
      <c r="J389" t="s">
        <v>389</v>
      </c>
      <c r="K389" t="s">
        <v>390</v>
      </c>
      <c r="L389">
        <v>1346</v>
      </c>
      <c r="N389">
        <v>1009</v>
      </c>
      <c r="O389" t="s">
        <v>368</v>
      </c>
      <c r="P389" t="s">
        <v>368</v>
      </c>
      <c r="Q389">
        <v>1</v>
      </c>
      <c r="X389">
        <v>0.03</v>
      </c>
      <c r="Y389">
        <v>31.49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3</v>
      </c>
      <c r="AG389">
        <v>0.03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ROW(Source!A656)</f>
        <v>656</v>
      </c>
      <c r="B390">
        <v>1474090135</v>
      </c>
      <c r="C390">
        <v>1471522157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355</v>
      </c>
      <c r="J390" t="s">
        <v>3</v>
      </c>
      <c r="K390" t="s">
        <v>356</v>
      </c>
      <c r="L390">
        <v>1191</v>
      </c>
      <c r="N390">
        <v>1013</v>
      </c>
      <c r="O390" t="s">
        <v>357</v>
      </c>
      <c r="P390" t="s">
        <v>357</v>
      </c>
      <c r="Q390">
        <v>1</v>
      </c>
      <c r="X390">
        <v>1.34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253</v>
      </c>
      <c r="AG390">
        <v>2.68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ROW(Source!A656)</f>
        <v>656</v>
      </c>
      <c r="B391">
        <v>1474090136</v>
      </c>
      <c r="C391">
        <v>1471522157</v>
      </c>
      <c r="D391">
        <v>1441834146</v>
      </c>
      <c r="E391">
        <v>1</v>
      </c>
      <c r="F391">
        <v>1</v>
      </c>
      <c r="G391">
        <v>15514512</v>
      </c>
      <c r="H391">
        <v>2</v>
      </c>
      <c r="I391" t="s">
        <v>431</v>
      </c>
      <c r="J391" t="s">
        <v>432</v>
      </c>
      <c r="K391" t="s">
        <v>433</v>
      </c>
      <c r="L391">
        <v>1368</v>
      </c>
      <c r="N391">
        <v>1011</v>
      </c>
      <c r="O391" t="s">
        <v>361</v>
      </c>
      <c r="P391" t="s">
        <v>361</v>
      </c>
      <c r="Q391">
        <v>1</v>
      </c>
      <c r="X391">
        <v>0.09</v>
      </c>
      <c r="Y391">
        <v>0</v>
      </c>
      <c r="Z391">
        <v>20.55</v>
      </c>
      <c r="AA391">
        <v>0.31</v>
      </c>
      <c r="AB391">
        <v>0</v>
      </c>
      <c r="AC391">
        <v>0</v>
      </c>
      <c r="AD391">
        <v>1</v>
      </c>
      <c r="AE391">
        <v>0</v>
      </c>
      <c r="AF391" t="s">
        <v>253</v>
      </c>
      <c r="AG391">
        <v>0.18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ROW(Source!A656)</f>
        <v>656</v>
      </c>
      <c r="B392">
        <v>1474090137</v>
      </c>
      <c r="C392">
        <v>1471522157</v>
      </c>
      <c r="D392">
        <v>1441836235</v>
      </c>
      <c r="E392">
        <v>1</v>
      </c>
      <c r="F392">
        <v>1</v>
      </c>
      <c r="G392">
        <v>15514512</v>
      </c>
      <c r="H392">
        <v>3</v>
      </c>
      <c r="I392" t="s">
        <v>388</v>
      </c>
      <c r="J392" t="s">
        <v>389</v>
      </c>
      <c r="K392" t="s">
        <v>390</v>
      </c>
      <c r="L392">
        <v>1346</v>
      </c>
      <c r="N392">
        <v>1009</v>
      </c>
      <c r="O392" t="s">
        <v>368</v>
      </c>
      <c r="P392" t="s">
        <v>368</v>
      </c>
      <c r="Q392">
        <v>1</v>
      </c>
      <c r="X392">
        <v>0.03</v>
      </c>
      <c r="Y392">
        <v>31.49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253</v>
      </c>
      <c r="AG392">
        <v>0.06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ROW(Source!A656)</f>
        <v>656</v>
      </c>
      <c r="B393">
        <v>1474090138</v>
      </c>
      <c r="C393">
        <v>1471522157</v>
      </c>
      <c r="D393">
        <v>1441836393</v>
      </c>
      <c r="E393">
        <v>1</v>
      </c>
      <c r="F393">
        <v>1</v>
      </c>
      <c r="G393">
        <v>15514512</v>
      </c>
      <c r="H393">
        <v>3</v>
      </c>
      <c r="I393" t="s">
        <v>428</v>
      </c>
      <c r="J393" t="s">
        <v>429</v>
      </c>
      <c r="K393" t="s">
        <v>430</v>
      </c>
      <c r="L393">
        <v>1296</v>
      </c>
      <c r="N393">
        <v>1002</v>
      </c>
      <c r="O393" t="s">
        <v>365</v>
      </c>
      <c r="P393" t="s">
        <v>365</v>
      </c>
      <c r="Q393">
        <v>1</v>
      </c>
      <c r="X393">
        <v>2.9999999999999997E-4</v>
      </c>
      <c r="Y393">
        <v>4241.6400000000003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253</v>
      </c>
      <c r="AG393">
        <v>5.9999999999999995E-4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ROW(Source!A657)</f>
        <v>657</v>
      </c>
      <c r="B394">
        <v>1474090139</v>
      </c>
      <c r="C394">
        <v>1471522174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355</v>
      </c>
      <c r="J394" t="s">
        <v>3</v>
      </c>
      <c r="K394" t="s">
        <v>356</v>
      </c>
      <c r="L394">
        <v>1191</v>
      </c>
      <c r="N394">
        <v>1013</v>
      </c>
      <c r="O394" t="s">
        <v>357</v>
      </c>
      <c r="P394" t="s">
        <v>357</v>
      </c>
      <c r="Q394">
        <v>1</v>
      </c>
      <c r="X394">
        <v>0.74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332</v>
      </c>
      <c r="AG394">
        <v>4.4399999999999995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ROW(Source!A657)</f>
        <v>657</v>
      </c>
      <c r="B395">
        <v>1474090140</v>
      </c>
      <c r="C395">
        <v>1471522174</v>
      </c>
      <c r="D395">
        <v>1441836235</v>
      </c>
      <c r="E395">
        <v>1</v>
      </c>
      <c r="F395">
        <v>1</v>
      </c>
      <c r="G395">
        <v>15514512</v>
      </c>
      <c r="H395">
        <v>3</v>
      </c>
      <c r="I395" t="s">
        <v>388</v>
      </c>
      <c r="J395" t="s">
        <v>389</v>
      </c>
      <c r="K395" t="s">
        <v>390</v>
      </c>
      <c r="L395">
        <v>1346</v>
      </c>
      <c r="N395">
        <v>1009</v>
      </c>
      <c r="O395" t="s">
        <v>368</v>
      </c>
      <c r="P395" t="s">
        <v>368</v>
      </c>
      <c r="Q395">
        <v>1</v>
      </c>
      <c r="X395">
        <v>0.01</v>
      </c>
      <c r="Y395">
        <v>31.49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332</v>
      </c>
      <c r="AG395">
        <v>0.06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ROW(Source!A658)</f>
        <v>658</v>
      </c>
      <c r="B396">
        <v>1474090141</v>
      </c>
      <c r="C396">
        <v>1471522202</v>
      </c>
      <c r="D396">
        <v>1441819193</v>
      </c>
      <c r="E396">
        <v>15514512</v>
      </c>
      <c r="F396">
        <v>1</v>
      </c>
      <c r="G396">
        <v>15514512</v>
      </c>
      <c r="H396">
        <v>1</v>
      </c>
      <c r="I396" t="s">
        <v>355</v>
      </c>
      <c r="J396" t="s">
        <v>3</v>
      </c>
      <c r="K396" t="s">
        <v>356</v>
      </c>
      <c r="L396">
        <v>1191</v>
      </c>
      <c r="N396">
        <v>1013</v>
      </c>
      <c r="O396" t="s">
        <v>357</v>
      </c>
      <c r="P396" t="s">
        <v>357</v>
      </c>
      <c r="Q396">
        <v>1</v>
      </c>
      <c r="X396">
        <v>16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1</v>
      </c>
      <c r="AF396" t="s">
        <v>156</v>
      </c>
      <c r="AG396">
        <v>48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ROW(Source!A658)</f>
        <v>658</v>
      </c>
      <c r="B397">
        <v>1474090142</v>
      </c>
      <c r="C397">
        <v>1471522202</v>
      </c>
      <c r="D397">
        <v>1441836235</v>
      </c>
      <c r="E397">
        <v>1</v>
      </c>
      <c r="F397">
        <v>1</v>
      </c>
      <c r="G397">
        <v>15514512</v>
      </c>
      <c r="H397">
        <v>3</v>
      </c>
      <c r="I397" t="s">
        <v>388</v>
      </c>
      <c r="J397" t="s">
        <v>389</v>
      </c>
      <c r="K397" t="s">
        <v>390</v>
      </c>
      <c r="L397">
        <v>1346</v>
      </c>
      <c r="N397">
        <v>1009</v>
      </c>
      <c r="O397" t="s">
        <v>368</v>
      </c>
      <c r="P397" t="s">
        <v>368</v>
      </c>
      <c r="Q397">
        <v>1</v>
      </c>
      <c r="X397">
        <v>0.3</v>
      </c>
      <c r="Y397">
        <v>31.49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156</v>
      </c>
      <c r="AG397">
        <v>0.89999999999999991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ROW(Source!A658)</f>
        <v>658</v>
      </c>
      <c r="B398">
        <v>1474090143</v>
      </c>
      <c r="C398">
        <v>1471522202</v>
      </c>
      <c r="D398">
        <v>1441834654</v>
      </c>
      <c r="E398">
        <v>1</v>
      </c>
      <c r="F398">
        <v>1</v>
      </c>
      <c r="G398">
        <v>15514512</v>
      </c>
      <c r="H398">
        <v>3</v>
      </c>
      <c r="I398" t="s">
        <v>397</v>
      </c>
      <c r="J398" t="s">
        <v>398</v>
      </c>
      <c r="K398" t="s">
        <v>399</v>
      </c>
      <c r="L398">
        <v>1296</v>
      </c>
      <c r="N398">
        <v>1002</v>
      </c>
      <c r="O398" t="s">
        <v>365</v>
      </c>
      <c r="P398" t="s">
        <v>365</v>
      </c>
      <c r="Q398">
        <v>1</v>
      </c>
      <c r="X398">
        <v>2</v>
      </c>
      <c r="Y398">
        <v>2895.42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156</v>
      </c>
      <c r="AG398">
        <v>6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ROW(Source!A658)</f>
        <v>658</v>
      </c>
      <c r="B399">
        <v>1474090144</v>
      </c>
      <c r="C399">
        <v>1471522202</v>
      </c>
      <c r="D399">
        <v>1441834667</v>
      </c>
      <c r="E399">
        <v>1</v>
      </c>
      <c r="F399">
        <v>1</v>
      </c>
      <c r="G399">
        <v>15514512</v>
      </c>
      <c r="H399">
        <v>3</v>
      </c>
      <c r="I399" t="s">
        <v>403</v>
      </c>
      <c r="J399" t="s">
        <v>404</v>
      </c>
      <c r="K399" t="s">
        <v>405</v>
      </c>
      <c r="L399">
        <v>1346</v>
      </c>
      <c r="N399">
        <v>1009</v>
      </c>
      <c r="O399" t="s">
        <v>368</v>
      </c>
      <c r="P399" t="s">
        <v>368</v>
      </c>
      <c r="Q399">
        <v>1</v>
      </c>
      <c r="X399">
        <v>0.2</v>
      </c>
      <c r="Y399">
        <v>197.72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156</v>
      </c>
      <c r="AG399">
        <v>0.60000000000000009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ROW(Source!A658)</f>
        <v>658</v>
      </c>
      <c r="B400">
        <v>1474090145</v>
      </c>
      <c r="C400">
        <v>1471522202</v>
      </c>
      <c r="D400">
        <v>1441834896</v>
      </c>
      <c r="E400">
        <v>1</v>
      </c>
      <c r="F400">
        <v>1</v>
      </c>
      <c r="G400">
        <v>15514512</v>
      </c>
      <c r="H400">
        <v>3</v>
      </c>
      <c r="I400" t="s">
        <v>406</v>
      </c>
      <c r="J400" t="s">
        <v>407</v>
      </c>
      <c r="K400" t="s">
        <v>408</v>
      </c>
      <c r="L400">
        <v>1348</v>
      </c>
      <c r="N400">
        <v>1009</v>
      </c>
      <c r="O400" t="s">
        <v>377</v>
      </c>
      <c r="P400" t="s">
        <v>377</v>
      </c>
      <c r="Q400">
        <v>1000</v>
      </c>
      <c r="X400">
        <v>1.1E-4</v>
      </c>
      <c r="Y400">
        <v>70975.399999999994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156</v>
      </c>
      <c r="AG400">
        <v>3.3E-4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ROW(Source!A659)</f>
        <v>659</v>
      </c>
      <c r="B401">
        <v>1474090146</v>
      </c>
      <c r="C401">
        <v>1471522226</v>
      </c>
      <c r="D401">
        <v>1441819193</v>
      </c>
      <c r="E401">
        <v>15514512</v>
      </c>
      <c r="F401">
        <v>1</v>
      </c>
      <c r="G401">
        <v>15514512</v>
      </c>
      <c r="H401">
        <v>1</v>
      </c>
      <c r="I401" t="s">
        <v>355</v>
      </c>
      <c r="J401" t="s">
        <v>3</v>
      </c>
      <c r="K401" t="s">
        <v>356</v>
      </c>
      <c r="L401">
        <v>1191</v>
      </c>
      <c r="N401">
        <v>1013</v>
      </c>
      <c r="O401" t="s">
        <v>357</v>
      </c>
      <c r="P401" t="s">
        <v>357</v>
      </c>
      <c r="Q401">
        <v>1</v>
      </c>
      <c r="X401">
        <v>9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1</v>
      </c>
      <c r="AF401" t="s">
        <v>152</v>
      </c>
      <c r="AG401">
        <v>45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ROW(Source!A659)</f>
        <v>659</v>
      </c>
      <c r="B402">
        <v>1474090147</v>
      </c>
      <c r="C402">
        <v>1471522226</v>
      </c>
      <c r="D402">
        <v>1441836235</v>
      </c>
      <c r="E402">
        <v>1</v>
      </c>
      <c r="F402">
        <v>1</v>
      </c>
      <c r="G402">
        <v>15514512</v>
      </c>
      <c r="H402">
        <v>3</v>
      </c>
      <c r="I402" t="s">
        <v>388</v>
      </c>
      <c r="J402" t="s">
        <v>389</v>
      </c>
      <c r="K402" t="s">
        <v>390</v>
      </c>
      <c r="L402">
        <v>1346</v>
      </c>
      <c r="N402">
        <v>1009</v>
      </c>
      <c r="O402" t="s">
        <v>368</v>
      </c>
      <c r="P402" t="s">
        <v>368</v>
      </c>
      <c r="Q402">
        <v>1</v>
      </c>
      <c r="X402">
        <v>0.3</v>
      </c>
      <c r="Y402">
        <v>31.49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152</v>
      </c>
      <c r="AG402">
        <v>1.5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ROW(Source!A660)</f>
        <v>660</v>
      </c>
      <c r="B403">
        <v>1474090148</v>
      </c>
      <c r="C403">
        <v>1471522251</v>
      </c>
      <c r="D403">
        <v>1441819193</v>
      </c>
      <c r="E403">
        <v>15514512</v>
      </c>
      <c r="F403">
        <v>1</v>
      </c>
      <c r="G403">
        <v>15514512</v>
      </c>
      <c r="H403">
        <v>1</v>
      </c>
      <c r="I403" t="s">
        <v>355</v>
      </c>
      <c r="J403" t="s">
        <v>3</v>
      </c>
      <c r="K403" t="s">
        <v>356</v>
      </c>
      <c r="L403">
        <v>1191</v>
      </c>
      <c r="N403">
        <v>1013</v>
      </c>
      <c r="O403" t="s">
        <v>357</v>
      </c>
      <c r="P403" t="s">
        <v>357</v>
      </c>
      <c r="Q403">
        <v>1</v>
      </c>
      <c r="X403">
        <v>0.57999999999999996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1</v>
      </c>
      <c r="AF403" t="s">
        <v>156</v>
      </c>
      <c r="AG403">
        <v>1.7399999999999998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ROW(Source!A660)</f>
        <v>660</v>
      </c>
      <c r="B404">
        <v>1474090149</v>
      </c>
      <c r="C404">
        <v>1471522251</v>
      </c>
      <c r="D404">
        <v>1441836235</v>
      </c>
      <c r="E404">
        <v>1</v>
      </c>
      <c r="F404">
        <v>1</v>
      </c>
      <c r="G404">
        <v>15514512</v>
      </c>
      <c r="H404">
        <v>3</v>
      </c>
      <c r="I404" t="s">
        <v>388</v>
      </c>
      <c r="J404" t="s">
        <v>389</v>
      </c>
      <c r="K404" t="s">
        <v>390</v>
      </c>
      <c r="L404">
        <v>1346</v>
      </c>
      <c r="N404">
        <v>1009</v>
      </c>
      <c r="O404" t="s">
        <v>368</v>
      </c>
      <c r="P404" t="s">
        <v>368</v>
      </c>
      <c r="Q404">
        <v>1</v>
      </c>
      <c r="X404">
        <v>0.02</v>
      </c>
      <c r="Y404">
        <v>31.49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156</v>
      </c>
      <c r="AG404">
        <v>0.06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ROW(Source!A661)</f>
        <v>661</v>
      </c>
      <c r="B405">
        <v>1474090150</v>
      </c>
      <c r="C405">
        <v>1471522259</v>
      </c>
      <c r="D405">
        <v>1441819193</v>
      </c>
      <c r="E405">
        <v>15514512</v>
      </c>
      <c r="F405">
        <v>1</v>
      </c>
      <c r="G405">
        <v>15514512</v>
      </c>
      <c r="H405">
        <v>1</v>
      </c>
      <c r="I405" t="s">
        <v>355</v>
      </c>
      <c r="J405" t="s">
        <v>3</v>
      </c>
      <c r="K405" t="s">
        <v>356</v>
      </c>
      <c r="L405">
        <v>1191</v>
      </c>
      <c r="N405">
        <v>1013</v>
      </c>
      <c r="O405" t="s">
        <v>357</v>
      </c>
      <c r="P405" t="s">
        <v>357</v>
      </c>
      <c r="Q405">
        <v>1</v>
      </c>
      <c r="X405">
        <v>0.37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1</v>
      </c>
      <c r="AF405" t="s">
        <v>253</v>
      </c>
      <c r="AG405">
        <v>0.74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ROW(Source!A661)</f>
        <v>661</v>
      </c>
      <c r="B406">
        <v>1474090151</v>
      </c>
      <c r="C406">
        <v>1471522259</v>
      </c>
      <c r="D406">
        <v>1441834258</v>
      </c>
      <c r="E406">
        <v>1</v>
      </c>
      <c r="F406">
        <v>1</v>
      </c>
      <c r="G406">
        <v>15514512</v>
      </c>
      <c r="H406">
        <v>2</v>
      </c>
      <c r="I406" t="s">
        <v>371</v>
      </c>
      <c r="J406" t="s">
        <v>372</v>
      </c>
      <c r="K406" t="s">
        <v>373</v>
      </c>
      <c r="L406">
        <v>1368</v>
      </c>
      <c r="N406">
        <v>1011</v>
      </c>
      <c r="O406" t="s">
        <v>361</v>
      </c>
      <c r="P406" t="s">
        <v>361</v>
      </c>
      <c r="Q406">
        <v>1</v>
      </c>
      <c r="X406">
        <v>0.06</v>
      </c>
      <c r="Y406">
        <v>0</v>
      </c>
      <c r="Z406">
        <v>1303.01</v>
      </c>
      <c r="AA406">
        <v>826.2</v>
      </c>
      <c r="AB406">
        <v>0</v>
      </c>
      <c r="AC406">
        <v>0</v>
      </c>
      <c r="AD406">
        <v>1</v>
      </c>
      <c r="AE406">
        <v>0</v>
      </c>
      <c r="AF406" t="s">
        <v>253</v>
      </c>
      <c r="AG406">
        <v>0.12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ROW(Source!A662)</f>
        <v>662</v>
      </c>
      <c r="B407">
        <v>1474090152</v>
      </c>
      <c r="C407">
        <v>1471522270</v>
      </c>
      <c r="D407">
        <v>1441819193</v>
      </c>
      <c r="E407">
        <v>15514512</v>
      </c>
      <c r="F407">
        <v>1</v>
      </c>
      <c r="G407">
        <v>15514512</v>
      </c>
      <c r="H407">
        <v>1</v>
      </c>
      <c r="I407" t="s">
        <v>355</v>
      </c>
      <c r="J407" t="s">
        <v>3</v>
      </c>
      <c r="K407" t="s">
        <v>356</v>
      </c>
      <c r="L407">
        <v>1191</v>
      </c>
      <c r="N407">
        <v>1013</v>
      </c>
      <c r="O407" t="s">
        <v>357</v>
      </c>
      <c r="P407" t="s">
        <v>357</v>
      </c>
      <c r="Q407">
        <v>1</v>
      </c>
      <c r="X407">
        <v>0.34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1</v>
      </c>
      <c r="AF407" t="s">
        <v>152</v>
      </c>
      <c r="AG407">
        <v>1.7000000000000002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ROW(Source!A663)</f>
        <v>663</v>
      </c>
      <c r="B408">
        <v>1474090153</v>
      </c>
      <c r="C408">
        <v>1471522277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355</v>
      </c>
      <c r="J408" t="s">
        <v>3</v>
      </c>
      <c r="K408" t="s">
        <v>356</v>
      </c>
      <c r="L408">
        <v>1191</v>
      </c>
      <c r="N408">
        <v>1013</v>
      </c>
      <c r="O408" t="s">
        <v>357</v>
      </c>
      <c r="P408" t="s">
        <v>357</v>
      </c>
      <c r="Q408">
        <v>1</v>
      </c>
      <c r="X408">
        <v>5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156</v>
      </c>
      <c r="AG408">
        <v>15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ROW(Source!A663)</f>
        <v>663</v>
      </c>
      <c r="B409">
        <v>1474090154</v>
      </c>
      <c r="C409">
        <v>1471522277</v>
      </c>
      <c r="D409">
        <v>1441836235</v>
      </c>
      <c r="E409">
        <v>1</v>
      </c>
      <c r="F409">
        <v>1</v>
      </c>
      <c r="G409">
        <v>15514512</v>
      </c>
      <c r="H409">
        <v>3</v>
      </c>
      <c r="I409" t="s">
        <v>388</v>
      </c>
      <c r="J409" t="s">
        <v>389</v>
      </c>
      <c r="K409" t="s">
        <v>390</v>
      </c>
      <c r="L409">
        <v>1346</v>
      </c>
      <c r="N409">
        <v>1009</v>
      </c>
      <c r="O409" t="s">
        <v>368</v>
      </c>
      <c r="P409" t="s">
        <v>368</v>
      </c>
      <c r="Q409">
        <v>1</v>
      </c>
      <c r="X409">
        <v>0.1</v>
      </c>
      <c r="Y409">
        <v>31.49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156</v>
      </c>
      <c r="AG409">
        <v>0.30000000000000004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ROW(Source!A663)</f>
        <v>663</v>
      </c>
      <c r="B410">
        <v>1474090155</v>
      </c>
      <c r="C410">
        <v>1471522277</v>
      </c>
      <c r="D410">
        <v>1441834706</v>
      </c>
      <c r="E410">
        <v>1</v>
      </c>
      <c r="F410">
        <v>1</v>
      </c>
      <c r="G410">
        <v>15514512</v>
      </c>
      <c r="H410">
        <v>3</v>
      </c>
      <c r="I410" t="s">
        <v>400</v>
      </c>
      <c r="J410" t="s">
        <v>401</v>
      </c>
      <c r="K410" t="s">
        <v>402</v>
      </c>
      <c r="L410">
        <v>1296</v>
      </c>
      <c r="N410">
        <v>1002</v>
      </c>
      <c r="O410" t="s">
        <v>365</v>
      </c>
      <c r="P410" t="s">
        <v>365</v>
      </c>
      <c r="Q410">
        <v>1</v>
      </c>
      <c r="X410">
        <v>1.7999999999999999E-2</v>
      </c>
      <c r="Y410">
        <v>7110.99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0</v>
      </c>
      <c r="AF410" t="s">
        <v>156</v>
      </c>
      <c r="AG410">
        <v>5.3999999999999992E-2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ROW(Source!A699)</f>
        <v>699</v>
      </c>
      <c r="B411">
        <v>1474090156</v>
      </c>
      <c r="C411">
        <v>1471522288</v>
      </c>
      <c r="D411">
        <v>1441819193</v>
      </c>
      <c r="E411">
        <v>15514512</v>
      </c>
      <c r="F411">
        <v>1</v>
      </c>
      <c r="G411">
        <v>15514512</v>
      </c>
      <c r="H411">
        <v>1</v>
      </c>
      <c r="I411" t="s">
        <v>355</v>
      </c>
      <c r="J411" t="s">
        <v>3</v>
      </c>
      <c r="K411" t="s">
        <v>356</v>
      </c>
      <c r="L411">
        <v>1191</v>
      </c>
      <c r="N411">
        <v>1013</v>
      </c>
      <c r="O411" t="s">
        <v>357</v>
      </c>
      <c r="P411" t="s">
        <v>357</v>
      </c>
      <c r="Q411">
        <v>1</v>
      </c>
      <c r="X411">
        <v>24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1</v>
      </c>
      <c r="AF411" t="s">
        <v>3</v>
      </c>
      <c r="AG411">
        <v>24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ROW(Source!A699)</f>
        <v>699</v>
      </c>
      <c r="B412">
        <v>1474090158</v>
      </c>
      <c r="C412">
        <v>1471522288</v>
      </c>
      <c r="D412">
        <v>1441836237</v>
      </c>
      <c r="E412">
        <v>1</v>
      </c>
      <c r="F412">
        <v>1</v>
      </c>
      <c r="G412">
        <v>15514512</v>
      </c>
      <c r="H412">
        <v>3</v>
      </c>
      <c r="I412" t="s">
        <v>409</v>
      </c>
      <c r="J412" t="s">
        <v>410</v>
      </c>
      <c r="K412" t="s">
        <v>411</v>
      </c>
      <c r="L412">
        <v>1346</v>
      </c>
      <c r="N412">
        <v>1009</v>
      </c>
      <c r="O412" t="s">
        <v>368</v>
      </c>
      <c r="P412" t="s">
        <v>368</v>
      </c>
      <c r="Q412">
        <v>1</v>
      </c>
      <c r="X412">
        <v>0.48</v>
      </c>
      <c r="Y412">
        <v>375.16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3</v>
      </c>
      <c r="AG412">
        <v>0.48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ROW(Source!A699)</f>
        <v>699</v>
      </c>
      <c r="B413">
        <v>1474090159</v>
      </c>
      <c r="C413">
        <v>1471522288</v>
      </c>
      <c r="D413">
        <v>1441836235</v>
      </c>
      <c r="E413">
        <v>1</v>
      </c>
      <c r="F413">
        <v>1</v>
      </c>
      <c r="G413">
        <v>15514512</v>
      </c>
      <c r="H413">
        <v>3</v>
      </c>
      <c r="I413" t="s">
        <v>388</v>
      </c>
      <c r="J413" t="s">
        <v>389</v>
      </c>
      <c r="K413" t="s">
        <v>390</v>
      </c>
      <c r="L413">
        <v>1346</v>
      </c>
      <c r="N413">
        <v>1009</v>
      </c>
      <c r="O413" t="s">
        <v>368</v>
      </c>
      <c r="P413" t="s">
        <v>368</v>
      </c>
      <c r="Q413">
        <v>1</v>
      </c>
      <c r="X413">
        <v>0.14000000000000001</v>
      </c>
      <c r="Y413">
        <v>31.49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3</v>
      </c>
      <c r="AG413">
        <v>0.14000000000000001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ROW(Source!A699)</f>
        <v>699</v>
      </c>
      <c r="B414">
        <v>1474090157</v>
      </c>
      <c r="C414">
        <v>1471522288</v>
      </c>
      <c r="D414">
        <v>1441822228</v>
      </c>
      <c r="E414">
        <v>15514512</v>
      </c>
      <c r="F414">
        <v>1</v>
      </c>
      <c r="G414">
        <v>15514512</v>
      </c>
      <c r="H414">
        <v>3</v>
      </c>
      <c r="I414" t="s">
        <v>412</v>
      </c>
      <c r="J414" t="s">
        <v>3</v>
      </c>
      <c r="K414" t="s">
        <v>413</v>
      </c>
      <c r="L414">
        <v>1346</v>
      </c>
      <c r="N414">
        <v>1009</v>
      </c>
      <c r="O414" t="s">
        <v>368</v>
      </c>
      <c r="P414" t="s">
        <v>368</v>
      </c>
      <c r="Q414">
        <v>1</v>
      </c>
      <c r="X414">
        <v>0.14000000000000001</v>
      </c>
      <c r="Y414">
        <v>73.951729999999998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3</v>
      </c>
      <c r="AG414">
        <v>0.14000000000000001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ROW(Source!A699)</f>
        <v>699</v>
      </c>
      <c r="B415">
        <v>1474090160</v>
      </c>
      <c r="C415">
        <v>1471522288</v>
      </c>
      <c r="D415">
        <v>1441834920</v>
      </c>
      <c r="E415">
        <v>1</v>
      </c>
      <c r="F415">
        <v>1</v>
      </c>
      <c r="G415">
        <v>15514512</v>
      </c>
      <c r="H415">
        <v>3</v>
      </c>
      <c r="I415" t="s">
        <v>414</v>
      </c>
      <c r="J415" t="s">
        <v>415</v>
      </c>
      <c r="K415" t="s">
        <v>416</v>
      </c>
      <c r="L415">
        <v>1346</v>
      </c>
      <c r="N415">
        <v>1009</v>
      </c>
      <c r="O415" t="s">
        <v>368</v>
      </c>
      <c r="P415" t="s">
        <v>368</v>
      </c>
      <c r="Q415">
        <v>1</v>
      </c>
      <c r="X415">
        <v>0.1</v>
      </c>
      <c r="Y415">
        <v>106.87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0</v>
      </c>
      <c r="AF415" t="s">
        <v>3</v>
      </c>
      <c r="AG415">
        <v>0.1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ROW(Source!A700)</f>
        <v>700</v>
      </c>
      <c r="B416">
        <v>1474090161</v>
      </c>
      <c r="C416">
        <v>1471522316</v>
      </c>
      <c r="D416">
        <v>1441819193</v>
      </c>
      <c r="E416">
        <v>15514512</v>
      </c>
      <c r="F416">
        <v>1</v>
      </c>
      <c r="G416">
        <v>15514512</v>
      </c>
      <c r="H416">
        <v>1</v>
      </c>
      <c r="I416" t="s">
        <v>355</v>
      </c>
      <c r="J416" t="s">
        <v>3</v>
      </c>
      <c r="K416" t="s">
        <v>356</v>
      </c>
      <c r="L416">
        <v>1191</v>
      </c>
      <c r="N416">
        <v>1013</v>
      </c>
      <c r="O416" t="s">
        <v>357</v>
      </c>
      <c r="P416" t="s">
        <v>357</v>
      </c>
      <c r="Q416">
        <v>1</v>
      </c>
      <c r="X416">
        <v>0.8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1</v>
      </c>
      <c r="AF416" t="s">
        <v>156</v>
      </c>
      <c r="AG416">
        <v>2.4000000000000004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ROW(Source!A700)</f>
        <v>700</v>
      </c>
      <c r="B417">
        <v>1474090162</v>
      </c>
      <c r="C417">
        <v>1471522316</v>
      </c>
      <c r="D417">
        <v>1441822228</v>
      </c>
      <c r="E417">
        <v>15514512</v>
      </c>
      <c r="F417">
        <v>1</v>
      </c>
      <c r="G417">
        <v>15514512</v>
      </c>
      <c r="H417">
        <v>3</v>
      </c>
      <c r="I417" t="s">
        <v>412</v>
      </c>
      <c r="J417" t="s">
        <v>3</v>
      </c>
      <c r="K417" t="s">
        <v>413</v>
      </c>
      <c r="L417">
        <v>1346</v>
      </c>
      <c r="N417">
        <v>1009</v>
      </c>
      <c r="O417" t="s">
        <v>368</v>
      </c>
      <c r="P417" t="s">
        <v>368</v>
      </c>
      <c r="Q417">
        <v>1</v>
      </c>
      <c r="X417">
        <v>0.01</v>
      </c>
      <c r="Y417">
        <v>73.951729999999998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156</v>
      </c>
      <c r="AG417">
        <v>0.03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ROW(Source!A701)</f>
        <v>701</v>
      </c>
      <c r="B418">
        <v>1474090163</v>
      </c>
      <c r="C418">
        <v>1471522347</v>
      </c>
      <c r="D418">
        <v>1441819193</v>
      </c>
      <c r="E418">
        <v>15514512</v>
      </c>
      <c r="F418">
        <v>1</v>
      </c>
      <c r="G418">
        <v>15514512</v>
      </c>
      <c r="H418">
        <v>1</v>
      </c>
      <c r="I418" t="s">
        <v>355</v>
      </c>
      <c r="J418" t="s">
        <v>3</v>
      </c>
      <c r="K418" t="s">
        <v>356</v>
      </c>
      <c r="L418">
        <v>1191</v>
      </c>
      <c r="N418">
        <v>1013</v>
      </c>
      <c r="O418" t="s">
        <v>357</v>
      </c>
      <c r="P418" t="s">
        <v>357</v>
      </c>
      <c r="Q418">
        <v>1</v>
      </c>
      <c r="X418">
        <v>1.59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1</v>
      </c>
      <c r="AF418" t="s">
        <v>3</v>
      </c>
      <c r="AG418">
        <v>1.59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ROW(Source!A701)</f>
        <v>701</v>
      </c>
      <c r="B419">
        <v>1474090164</v>
      </c>
      <c r="C419">
        <v>1471522347</v>
      </c>
      <c r="D419">
        <v>1441836235</v>
      </c>
      <c r="E419">
        <v>1</v>
      </c>
      <c r="F419">
        <v>1</v>
      </c>
      <c r="G419">
        <v>15514512</v>
      </c>
      <c r="H419">
        <v>3</v>
      </c>
      <c r="I419" t="s">
        <v>388</v>
      </c>
      <c r="J419" t="s">
        <v>389</v>
      </c>
      <c r="K419" t="s">
        <v>390</v>
      </c>
      <c r="L419">
        <v>1346</v>
      </c>
      <c r="N419">
        <v>1009</v>
      </c>
      <c r="O419" t="s">
        <v>368</v>
      </c>
      <c r="P419" t="s">
        <v>368</v>
      </c>
      <c r="Q419">
        <v>1</v>
      </c>
      <c r="X419">
        <v>0.01</v>
      </c>
      <c r="Y419">
        <v>31.49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0.01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ROW(Source!A702)</f>
        <v>702</v>
      </c>
      <c r="B420">
        <v>1474090165</v>
      </c>
      <c r="C420">
        <v>1471522383</v>
      </c>
      <c r="D420">
        <v>1441819193</v>
      </c>
      <c r="E420">
        <v>15514512</v>
      </c>
      <c r="F420">
        <v>1</v>
      </c>
      <c r="G420">
        <v>15514512</v>
      </c>
      <c r="H420">
        <v>1</v>
      </c>
      <c r="I420" t="s">
        <v>355</v>
      </c>
      <c r="J420" t="s">
        <v>3</v>
      </c>
      <c r="K420" t="s">
        <v>356</v>
      </c>
      <c r="L420">
        <v>1191</v>
      </c>
      <c r="N420">
        <v>1013</v>
      </c>
      <c r="O420" t="s">
        <v>357</v>
      </c>
      <c r="P420" t="s">
        <v>357</v>
      </c>
      <c r="Q420">
        <v>1</v>
      </c>
      <c r="X420">
        <v>0.14000000000000001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1</v>
      </c>
      <c r="AF420" t="s">
        <v>3</v>
      </c>
      <c r="AG420">
        <v>0.14000000000000001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ROW(Source!A702)</f>
        <v>702</v>
      </c>
      <c r="B421">
        <v>1474090166</v>
      </c>
      <c r="C421">
        <v>1471522383</v>
      </c>
      <c r="D421">
        <v>1441834213</v>
      </c>
      <c r="E421">
        <v>1</v>
      </c>
      <c r="F421">
        <v>1</v>
      </c>
      <c r="G421">
        <v>15514512</v>
      </c>
      <c r="H421">
        <v>2</v>
      </c>
      <c r="I421" t="s">
        <v>417</v>
      </c>
      <c r="J421" t="s">
        <v>418</v>
      </c>
      <c r="K421" t="s">
        <v>419</v>
      </c>
      <c r="L421">
        <v>1368</v>
      </c>
      <c r="N421">
        <v>1011</v>
      </c>
      <c r="O421" t="s">
        <v>361</v>
      </c>
      <c r="P421" t="s">
        <v>361</v>
      </c>
      <c r="Q421">
        <v>1</v>
      </c>
      <c r="X421">
        <v>0.03</v>
      </c>
      <c r="Y421">
        <v>0</v>
      </c>
      <c r="Z421">
        <v>7.68</v>
      </c>
      <c r="AA421">
        <v>0.05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0.03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ROW(Source!A702)</f>
        <v>702</v>
      </c>
      <c r="B422">
        <v>1474090167</v>
      </c>
      <c r="C422">
        <v>1471522383</v>
      </c>
      <c r="D422">
        <v>1441836235</v>
      </c>
      <c r="E422">
        <v>1</v>
      </c>
      <c r="F422">
        <v>1</v>
      </c>
      <c r="G422">
        <v>15514512</v>
      </c>
      <c r="H422">
        <v>3</v>
      </c>
      <c r="I422" t="s">
        <v>388</v>
      </c>
      <c r="J422" t="s">
        <v>389</v>
      </c>
      <c r="K422" t="s">
        <v>390</v>
      </c>
      <c r="L422">
        <v>1346</v>
      </c>
      <c r="N422">
        <v>1009</v>
      </c>
      <c r="O422" t="s">
        <v>368</v>
      </c>
      <c r="P422" t="s">
        <v>368</v>
      </c>
      <c r="Q422">
        <v>1</v>
      </c>
      <c r="X422">
        <v>7.0000000000000007E-2</v>
      </c>
      <c r="Y422">
        <v>31.49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7.0000000000000007E-2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ROW(Source!A703)</f>
        <v>703</v>
      </c>
      <c r="B423">
        <v>1474090168</v>
      </c>
      <c r="C423">
        <v>1471522420</v>
      </c>
      <c r="D423">
        <v>1441819193</v>
      </c>
      <c r="E423">
        <v>15514512</v>
      </c>
      <c r="F423">
        <v>1</v>
      </c>
      <c r="G423">
        <v>15514512</v>
      </c>
      <c r="H423">
        <v>1</v>
      </c>
      <c r="I423" t="s">
        <v>355</v>
      </c>
      <c r="J423" t="s">
        <v>3</v>
      </c>
      <c r="K423" t="s">
        <v>356</v>
      </c>
      <c r="L423">
        <v>1191</v>
      </c>
      <c r="N423">
        <v>1013</v>
      </c>
      <c r="O423" t="s">
        <v>357</v>
      </c>
      <c r="P423" t="s">
        <v>357</v>
      </c>
      <c r="Q423">
        <v>1</v>
      </c>
      <c r="X423">
        <v>0.41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1</v>
      </c>
      <c r="AF423" t="s">
        <v>156</v>
      </c>
      <c r="AG423">
        <v>1.23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ROW(Source!A704)</f>
        <v>704</v>
      </c>
      <c r="B424">
        <v>1474090169</v>
      </c>
      <c r="C424">
        <v>1471522449</v>
      </c>
      <c r="D424">
        <v>1441819193</v>
      </c>
      <c r="E424">
        <v>15514512</v>
      </c>
      <c r="F424">
        <v>1</v>
      </c>
      <c r="G424">
        <v>15514512</v>
      </c>
      <c r="H424">
        <v>1</v>
      </c>
      <c r="I424" t="s">
        <v>355</v>
      </c>
      <c r="J424" t="s">
        <v>3</v>
      </c>
      <c r="K424" t="s">
        <v>356</v>
      </c>
      <c r="L424">
        <v>1191</v>
      </c>
      <c r="N424">
        <v>1013</v>
      </c>
      <c r="O424" t="s">
        <v>357</v>
      </c>
      <c r="P424" t="s">
        <v>357</v>
      </c>
      <c r="Q424">
        <v>1</v>
      </c>
      <c r="X424">
        <v>1.84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1</v>
      </c>
      <c r="AF424" t="s">
        <v>3</v>
      </c>
      <c r="AG424">
        <v>1.84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ROW(Source!A704)</f>
        <v>704</v>
      </c>
      <c r="B425">
        <v>1474090170</v>
      </c>
      <c r="C425">
        <v>1471522449</v>
      </c>
      <c r="D425">
        <v>1441833954</v>
      </c>
      <c r="E425">
        <v>1</v>
      </c>
      <c r="F425">
        <v>1</v>
      </c>
      <c r="G425">
        <v>15514512</v>
      </c>
      <c r="H425">
        <v>2</v>
      </c>
      <c r="I425" t="s">
        <v>425</v>
      </c>
      <c r="J425" t="s">
        <v>426</v>
      </c>
      <c r="K425" t="s">
        <v>427</v>
      </c>
      <c r="L425">
        <v>1368</v>
      </c>
      <c r="N425">
        <v>1011</v>
      </c>
      <c r="O425" t="s">
        <v>361</v>
      </c>
      <c r="P425" t="s">
        <v>361</v>
      </c>
      <c r="Q425">
        <v>1</v>
      </c>
      <c r="X425">
        <v>6.88E-2</v>
      </c>
      <c r="Y425">
        <v>0</v>
      </c>
      <c r="Z425">
        <v>59.51</v>
      </c>
      <c r="AA425">
        <v>0.82</v>
      </c>
      <c r="AB425">
        <v>0</v>
      </c>
      <c r="AC425">
        <v>0</v>
      </c>
      <c r="AD425">
        <v>1</v>
      </c>
      <c r="AE425">
        <v>0</v>
      </c>
      <c r="AF425" t="s">
        <v>3</v>
      </c>
      <c r="AG425">
        <v>6.88E-2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ROW(Source!A704)</f>
        <v>704</v>
      </c>
      <c r="B426">
        <v>1474090171</v>
      </c>
      <c r="C426">
        <v>1471522449</v>
      </c>
      <c r="D426">
        <v>1441836235</v>
      </c>
      <c r="E426">
        <v>1</v>
      </c>
      <c r="F426">
        <v>1</v>
      </c>
      <c r="G426">
        <v>15514512</v>
      </c>
      <c r="H426">
        <v>3</v>
      </c>
      <c r="I426" t="s">
        <v>388</v>
      </c>
      <c r="J426" t="s">
        <v>389</v>
      </c>
      <c r="K426" t="s">
        <v>390</v>
      </c>
      <c r="L426">
        <v>1346</v>
      </c>
      <c r="N426">
        <v>1009</v>
      </c>
      <c r="O426" t="s">
        <v>368</v>
      </c>
      <c r="P426" t="s">
        <v>368</v>
      </c>
      <c r="Q426">
        <v>1</v>
      </c>
      <c r="X426">
        <v>5.2999999999999999E-2</v>
      </c>
      <c r="Y426">
        <v>31.49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 t="s">
        <v>3</v>
      </c>
      <c r="AG426">
        <v>5.2999999999999999E-2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ROW(Source!A705)</f>
        <v>705</v>
      </c>
      <c r="B427">
        <v>1474090172</v>
      </c>
      <c r="C427">
        <v>1471522482</v>
      </c>
      <c r="D427">
        <v>1441819193</v>
      </c>
      <c r="E427">
        <v>15514512</v>
      </c>
      <c r="F427">
        <v>1</v>
      </c>
      <c r="G427">
        <v>15514512</v>
      </c>
      <c r="H427">
        <v>1</v>
      </c>
      <c r="I427" t="s">
        <v>355</v>
      </c>
      <c r="J427" t="s">
        <v>3</v>
      </c>
      <c r="K427" t="s">
        <v>356</v>
      </c>
      <c r="L427">
        <v>1191</v>
      </c>
      <c r="N427">
        <v>1013</v>
      </c>
      <c r="O427" t="s">
        <v>357</v>
      </c>
      <c r="P427" t="s">
        <v>357</v>
      </c>
      <c r="Q427">
        <v>1</v>
      </c>
      <c r="X427">
        <v>1.84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1</v>
      </c>
      <c r="AF427" t="s">
        <v>3</v>
      </c>
      <c r="AG427">
        <v>1.84</v>
      </c>
      <c r="AH427">
        <v>3</v>
      </c>
      <c r="AI427">
        <v>-1</v>
      </c>
      <c r="AJ427" t="s">
        <v>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ROW(Source!A705)</f>
        <v>705</v>
      </c>
      <c r="B428">
        <v>1474090173</v>
      </c>
      <c r="C428">
        <v>1471522482</v>
      </c>
      <c r="D428">
        <v>1441833954</v>
      </c>
      <c r="E428">
        <v>1</v>
      </c>
      <c r="F428">
        <v>1</v>
      </c>
      <c r="G428">
        <v>15514512</v>
      </c>
      <c r="H428">
        <v>2</v>
      </c>
      <c r="I428" t="s">
        <v>425</v>
      </c>
      <c r="J428" t="s">
        <v>426</v>
      </c>
      <c r="K428" t="s">
        <v>427</v>
      </c>
      <c r="L428">
        <v>1368</v>
      </c>
      <c r="N428">
        <v>1011</v>
      </c>
      <c r="O428" t="s">
        <v>361</v>
      </c>
      <c r="P428" t="s">
        <v>361</v>
      </c>
      <c r="Q428">
        <v>1</v>
      </c>
      <c r="X428">
        <v>6.88E-2</v>
      </c>
      <c r="Y428">
        <v>0</v>
      </c>
      <c r="Z428">
        <v>59.51</v>
      </c>
      <c r="AA428">
        <v>0.82</v>
      </c>
      <c r="AB428">
        <v>0</v>
      </c>
      <c r="AC428">
        <v>0</v>
      </c>
      <c r="AD428">
        <v>1</v>
      </c>
      <c r="AE428">
        <v>0</v>
      </c>
      <c r="AF428" t="s">
        <v>3</v>
      </c>
      <c r="AG428">
        <v>6.88E-2</v>
      </c>
      <c r="AH428">
        <v>3</v>
      </c>
      <c r="AI428">
        <v>-1</v>
      </c>
      <c r="AJ428" t="s">
        <v>3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ROW(Source!A705)</f>
        <v>705</v>
      </c>
      <c r="B429">
        <v>1474090174</v>
      </c>
      <c r="C429">
        <v>1471522482</v>
      </c>
      <c r="D429">
        <v>1441836235</v>
      </c>
      <c r="E429">
        <v>1</v>
      </c>
      <c r="F429">
        <v>1</v>
      </c>
      <c r="G429">
        <v>15514512</v>
      </c>
      <c r="H429">
        <v>3</v>
      </c>
      <c r="I429" t="s">
        <v>388</v>
      </c>
      <c r="J429" t="s">
        <v>389</v>
      </c>
      <c r="K429" t="s">
        <v>390</v>
      </c>
      <c r="L429">
        <v>1346</v>
      </c>
      <c r="N429">
        <v>1009</v>
      </c>
      <c r="O429" t="s">
        <v>368</v>
      </c>
      <c r="P429" t="s">
        <v>368</v>
      </c>
      <c r="Q429">
        <v>1</v>
      </c>
      <c r="X429">
        <v>5.2999999999999999E-2</v>
      </c>
      <c r="Y429">
        <v>31.49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0</v>
      </c>
      <c r="AF429" t="s">
        <v>3</v>
      </c>
      <c r="AG429">
        <v>5.2999999999999999E-2</v>
      </c>
      <c r="AH429">
        <v>3</v>
      </c>
      <c r="AI429">
        <v>-1</v>
      </c>
      <c r="AJ429" t="s">
        <v>3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ROW(Source!A706)</f>
        <v>706</v>
      </c>
      <c r="B430">
        <v>1474090175</v>
      </c>
      <c r="C430">
        <v>1471522529</v>
      </c>
      <c r="D430">
        <v>1441819193</v>
      </c>
      <c r="E430">
        <v>15514512</v>
      </c>
      <c r="F430">
        <v>1</v>
      </c>
      <c r="G430">
        <v>15514512</v>
      </c>
      <c r="H430">
        <v>1</v>
      </c>
      <c r="I430" t="s">
        <v>355</v>
      </c>
      <c r="J430" t="s">
        <v>3</v>
      </c>
      <c r="K430" t="s">
        <v>356</v>
      </c>
      <c r="L430">
        <v>1191</v>
      </c>
      <c r="N430">
        <v>1013</v>
      </c>
      <c r="O430" t="s">
        <v>357</v>
      </c>
      <c r="P430" t="s">
        <v>357</v>
      </c>
      <c r="Q430">
        <v>1</v>
      </c>
      <c r="X430">
        <v>0.2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1</v>
      </c>
      <c r="AE430">
        <v>1</v>
      </c>
      <c r="AF430" t="s">
        <v>152</v>
      </c>
      <c r="AG430">
        <v>1</v>
      </c>
      <c r="AH430">
        <v>3</v>
      </c>
      <c r="AI430">
        <v>-1</v>
      </c>
      <c r="AJ430" t="s">
        <v>3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ROW(Source!A706)</f>
        <v>706</v>
      </c>
      <c r="B431">
        <v>1474090176</v>
      </c>
      <c r="C431">
        <v>1471522529</v>
      </c>
      <c r="D431">
        <v>1441833954</v>
      </c>
      <c r="E431">
        <v>1</v>
      </c>
      <c r="F431">
        <v>1</v>
      </c>
      <c r="G431">
        <v>15514512</v>
      </c>
      <c r="H431">
        <v>2</v>
      </c>
      <c r="I431" t="s">
        <v>425</v>
      </c>
      <c r="J431" t="s">
        <v>426</v>
      </c>
      <c r="K431" t="s">
        <v>427</v>
      </c>
      <c r="L431">
        <v>1368</v>
      </c>
      <c r="N431">
        <v>1011</v>
      </c>
      <c r="O431" t="s">
        <v>361</v>
      </c>
      <c r="P431" t="s">
        <v>361</v>
      </c>
      <c r="Q431">
        <v>1</v>
      </c>
      <c r="X431">
        <v>1.24E-2</v>
      </c>
      <c r="Y431">
        <v>0</v>
      </c>
      <c r="Z431">
        <v>59.51</v>
      </c>
      <c r="AA431">
        <v>0.82</v>
      </c>
      <c r="AB431">
        <v>0</v>
      </c>
      <c r="AC431">
        <v>0</v>
      </c>
      <c r="AD431">
        <v>1</v>
      </c>
      <c r="AE431">
        <v>0</v>
      </c>
      <c r="AF431" t="s">
        <v>152</v>
      </c>
      <c r="AG431">
        <v>6.2E-2</v>
      </c>
      <c r="AH431">
        <v>3</v>
      </c>
      <c r="AI431">
        <v>-1</v>
      </c>
      <c r="AJ431" t="s">
        <v>3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ROW(Source!A706)</f>
        <v>706</v>
      </c>
      <c r="B432">
        <v>1474090177</v>
      </c>
      <c r="C432">
        <v>1471522529</v>
      </c>
      <c r="D432">
        <v>1441836235</v>
      </c>
      <c r="E432">
        <v>1</v>
      </c>
      <c r="F432">
        <v>1</v>
      </c>
      <c r="G432">
        <v>15514512</v>
      </c>
      <c r="H432">
        <v>3</v>
      </c>
      <c r="I432" t="s">
        <v>388</v>
      </c>
      <c r="J432" t="s">
        <v>389</v>
      </c>
      <c r="K432" t="s">
        <v>390</v>
      </c>
      <c r="L432">
        <v>1346</v>
      </c>
      <c r="N432">
        <v>1009</v>
      </c>
      <c r="O432" t="s">
        <v>368</v>
      </c>
      <c r="P432" t="s">
        <v>368</v>
      </c>
      <c r="Q432">
        <v>1</v>
      </c>
      <c r="X432">
        <v>0.01</v>
      </c>
      <c r="Y432">
        <v>31.49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152</v>
      </c>
      <c r="AG432">
        <v>0.05</v>
      </c>
      <c r="AH432">
        <v>3</v>
      </c>
      <c r="AI432">
        <v>-1</v>
      </c>
      <c r="AJ432" t="s">
        <v>3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ROW(Source!A707)</f>
        <v>707</v>
      </c>
      <c r="B433">
        <v>1474090178</v>
      </c>
      <c r="C433">
        <v>1471522575</v>
      </c>
      <c r="D433">
        <v>1441819193</v>
      </c>
      <c r="E433">
        <v>15514512</v>
      </c>
      <c r="F433">
        <v>1</v>
      </c>
      <c r="G433">
        <v>15514512</v>
      </c>
      <c r="H433">
        <v>1</v>
      </c>
      <c r="I433" t="s">
        <v>355</v>
      </c>
      <c r="J433" t="s">
        <v>3</v>
      </c>
      <c r="K433" t="s">
        <v>356</v>
      </c>
      <c r="L433">
        <v>1191</v>
      </c>
      <c r="N433">
        <v>1013</v>
      </c>
      <c r="O433" t="s">
        <v>357</v>
      </c>
      <c r="P433" t="s">
        <v>357</v>
      </c>
      <c r="Q433">
        <v>1</v>
      </c>
      <c r="X433">
        <v>0.56999999999999995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1</v>
      </c>
      <c r="AF433" t="s">
        <v>82</v>
      </c>
      <c r="AG433">
        <v>139.64999999999998</v>
      </c>
      <c r="AH433">
        <v>3</v>
      </c>
      <c r="AI433">
        <v>-1</v>
      </c>
      <c r="AJ433" t="s">
        <v>3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ROW(Source!A707)</f>
        <v>707</v>
      </c>
      <c r="B434">
        <v>1474090179</v>
      </c>
      <c r="C434">
        <v>1471522575</v>
      </c>
      <c r="D434">
        <v>1441836373</v>
      </c>
      <c r="E434">
        <v>1</v>
      </c>
      <c r="F434">
        <v>1</v>
      </c>
      <c r="G434">
        <v>15514512</v>
      </c>
      <c r="H434">
        <v>3</v>
      </c>
      <c r="I434" t="s">
        <v>420</v>
      </c>
      <c r="J434" t="s">
        <v>421</v>
      </c>
      <c r="K434" t="s">
        <v>422</v>
      </c>
      <c r="L434">
        <v>1296</v>
      </c>
      <c r="N434">
        <v>1002</v>
      </c>
      <c r="O434" t="s">
        <v>365</v>
      </c>
      <c r="P434" t="s">
        <v>365</v>
      </c>
      <c r="Q434">
        <v>1</v>
      </c>
      <c r="X434">
        <v>0.3</v>
      </c>
      <c r="Y434">
        <v>134.46</v>
      </c>
      <c r="Z434">
        <v>0</v>
      </c>
      <c r="AA434">
        <v>0</v>
      </c>
      <c r="AB434">
        <v>0</v>
      </c>
      <c r="AC434">
        <v>0</v>
      </c>
      <c r="AD434">
        <v>1</v>
      </c>
      <c r="AE434">
        <v>0</v>
      </c>
      <c r="AF434" t="s">
        <v>82</v>
      </c>
      <c r="AG434">
        <v>73.5</v>
      </c>
      <c r="AH434">
        <v>3</v>
      </c>
      <c r="AI434">
        <v>-1</v>
      </c>
      <c r="AJ434" t="s">
        <v>3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ROW(Source!A707)</f>
        <v>707</v>
      </c>
      <c r="B435">
        <v>1474090180</v>
      </c>
      <c r="C435">
        <v>1471522575</v>
      </c>
      <c r="D435">
        <v>1441836514</v>
      </c>
      <c r="E435">
        <v>1</v>
      </c>
      <c r="F435">
        <v>1</v>
      </c>
      <c r="G435">
        <v>15514512</v>
      </c>
      <c r="H435">
        <v>3</v>
      </c>
      <c r="I435" t="s">
        <v>378</v>
      </c>
      <c r="J435" t="s">
        <v>379</v>
      </c>
      <c r="K435" t="s">
        <v>380</v>
      </c>
      <c r="L435">
        <v>1339</v>
      </c>
      <c r="N435">
        <v>1007</v>
      </c>
      <c r="O435" t="s">
        <v>381</v>
      </c>
      <c r="P435" t="s">
        <v>381</v>
      </c>
      <c r="Q435">
        <v>1</v>
      </c>
      <c r="X435">
        <v>0.01</v>
      </c>
      <c r="Y435">
        <v>54.81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0</v>
      </c>
      <c r="AF435" t="s">
        <v>82</v>
      </c>
      <c r="AG435">
        <v>2.4500000000000002</v>
      </c>
      <c r="AH435">
        <v>3</v>
      </c>
      <c r="AI435">
        <v>-1</v>
      </c>
      <c r="AJ435" t="s">
        <v>3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ROW(Source!A708)</f>
        <v>708</v>
      </c>
      <c r="B436">
        <v>1474090181</v>
      </c>
      <c r="C436">
        <v>1471522622</v>
      </c>
      <c r="D436">
        <v>1441819193</v>
      </c>
      <c r="E436">
        <v>15514512</v>
      </c>
      <c r="F436">
        <v>1</v>
      </c>
      <c r="G436">
        <v>15514512</v>
      </c>
      <c r="H436">
        <v>1</v>
      </c>
      <c r="I436" t="s">
        <v>355</v>
      </c>
      <c r="J436" t="s">
        <v>3</v>
      </c>
      <c r="K436" t="s">
        <v>356</v>
      </c>
      <c r="L436">
        <v>1191</v>
      </c>
      <c r="N436">
        <v>1013</v>
      </c>
      <c r="O436" t="s">
        <v>357</v>
      </c>
      <c r="P436" t="s">
        <v>357</v>
      </c>
      <c r="Q436">
        <v>1</v>
      </c>
      <c r="X436">
        <v>0.34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1</v>
      </c>
      <c r="AE436">
        <v>1</v>
      </c>
      <c r="AF436" t="s">
        <v>3</v>
      </c>
      <c r="AG436">
        <v>0.34</v>
      </c>
      <c r="AH436">
        <v>3</v>
      </c>
      <c r="AI436">
        <v>-1</v>
      </c>
      <c r="AJ436" t="s">
        <v>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ROW(Source!A708)</f>
        <v>708</v>
      </c>
      <c r="B437">
        <v>1474090182</v>
      </c>
      <c r="C437">
        <v>1471522622</v>
      </c>
      <c r="D437">
        <v>1441836912</v>
      </c>
      <c r="E437">
        <v>1</v>
      </c>
      <c r="F437">
        <v>1</v>
      </c>
      <c r="G437">
        <v>15514512</v>
      </c>
      <c r="H437">
        <v>3</v>
      </c>
      <c r="I437" t="s">
        <v>394</v>
      </c>
      <c r="J437" t="s">
        <v>395</v>
      </c>
      <c r="K437" t="s">
        <v>396</v>
      </c>
      <c r="L437">
        <v>1354</v>
      </c>
      <c r="N437">
        <v>16987630</v>
      </c>
      <c r="O437" t="s">
        <v>39</v>
      </c>
      <c r="P437" t="s">
        <v>39</v>
      </c>
      <c r="Q437">
        <v>1</v>
      </c>
      <c r="X437">
        <v>0.3</v>
      </c>
      <c r="Y437">
        <v>27.52</v>
      </c>
      <c r="Z437">
        <v>0</v>
      </c>
      <c r="AA437">
        <v>0</v>
      </c>
      <c r="AB437">
        <v>0</v>
      </c>
      <c r="AC437">
        <v>0</v>
      </c>
      <c r="AD437">
        <v>1</v>
      </c>
      <c r="AE437">
        <v>0</v>
      </c>
      <c r="AF437" t="s">
        <v>3</v>
      </c>
      <c r="AG437">
        <v>0.3</v>
      </c>
      <c r="AH437">
        <v>3</v>
      </c>
      <c r="AI437">
        <v>-1</v>
      </c>
      <c r="AJ437" t="s">
        <v>3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ROW(Source!A709)</f>
        <v>709</v>
      </c>
      <c r="B438">
        <v>1474090183</v>
      </c>
      <c r="C438">
        <v>1471522671</v>
      </c>
      <c r="D438">
        <v>1441819193</v>
      </c>
      <c r="E438">
        <v>15514512</v>
      </c>
      <c r="F438">
        <v>1</v>
      </c>
      <c r="G438">
        <v>15514512</v>
      </c>
      <c r="H438">
        <v>1</v>
      </c>
      <c r="I438" t="s">
        <v>355</v>
      </c>
      <c r="J438" t="s">
        <v>3</v>
      </c>
      <c r="K438" t="s">
        <v>356</v>
      </c>
      <c r="L438">
        <v>1191</v>
      </c>
      <c r="N438">
        <v>1013</v>
      </c>
      <c r="O438" t="s">
        <v>357</v>
      </c>
      <c r="P438" t="s">
        <v>357</v>
      </c>
      <c r="Q438">
        <v>1</v>
      </c>
      <c r="X438">
        <v>0.18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1</v>
      </c>
      <c r="AF438" t="s">
        <v>197</v>
      </c>
      <c r="AG438">
        <v>0.18720000000000001</v>
      </c>
      <c r="AH438">
        <v>3</v>
      </c>
      <c r="AI438">
        <v>-1</v>
      </c>
      <c r="AJ438" t="s">
        <v>3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ROW(Source!A709)</f>
        <v>709</v>
      </c>
      <c r="B439">
        <v>1474090184</v>
      </c>
      <c r="C439">
        <v>1471522671</v>
      </c>
      <c r="D439">
        <v>1441836235</v>
      </c>
      <c r="E439">
        <v>1</v>
      </c>
      <c r="F439">
        <v>1</v>
      </c>
      <c r="G439">
        <v>15514512</v>
      </c>
      <c r="H439">
        <v>3</v>
      </c>
      <c r="I439" t="s">
        <v>388</v>
      </c>
      <c r="J439" t="s">
        <v>389</v>
      </c>
      <c r="K439" t="s">
        <v>390</v>
      </c>
      <c r="L439">
        <v>1346</v>
      </c>
      <c r="N439">
        <v>1009</v>
      </c>
      <c r="O439" t="s">
        <v>368</v>
      </c>
      <c r="P439" t="s">
        <v>368</v>
      </c>
      <c r="Q439">
        <v>1</v>
      </c>
      <c r="X439">
        <v>0.04</v>
      </c>
      <c r="Y439">
        <v>31.49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0</v>
      </c>
      <c r="AF439" t="s">
        <v>3</v>
      </c>
      <c r="AG439">
        <v>0.04</v>
      </c>
      <c r="AH439">
        <v>3</v>
      </c>
      <c r="AI439">
        <v>-1</v>
      </c>
      <c r="AJ439" t="s">
        <v>3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ROW(Source!A710)</f>
        <v>710</v>
      </c>
      <c r="B440">
        <v>1474090185</v>
      </c>
      <c r="C440">
        <v>1471522715</v>
      </c>
      <c r="D440">
        <v>1441819193</v>
      </c>
      <c r="E440">
        <v>15514512</v>
      </c>
      <c r="F440">
        <v>1</v>
      </c>
      <c r="G440">
        <v>15514512</v>
      </c>
      <c r="H440">
        <v>1</v>
      </c>
      <c r="I440" t="s">
        <v>355</v>
      </c>
      <c r="J440" t="s">
        <v>3</v>
      </c>
      <c r="K440" t="s">
        <v>356</v>
      </c>
      <c r="L440">
        <v>1191</v>
      </c>
      <c r="N440">
        <v>1013</v>
      </c>
      <c r="O440" t="s">
        <v>357</v>
      </c>
      <c r="P440" t="s">
        <v>357</v>
      </c>
      <c r="Q440">
        <v>1</v>
      </c>
      <c r="X440">
        <v>0.3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1</v>
      </c>
      <c r="AF440" t="s">
        <v>197</v>
      </c>
      <c r="AG440">
        <v>0.312</v>
      </c>
      <c r="AH440">
        <v>3</v>
      </c>
      <c r="AI440">
        <v>-1</v>
      </c>
      <c r="AJ440" t="s">
        <v>3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ROW(Source!A710)</f>
        <v>710</v>
      </c>
      <c r="B441">
        <v>1474090186</v>
      </c>
      <c r="C441">
        <v>1471522715</v>
      </c>
      <c r="D441">
        <v>1441836235</v>
      </c>
      <c r="E441">
        <v>1</v>
      </c>
      <c r="F441">
        <v>1</v>
      </c>
      <c r="G441">
        <v>15514512</v>
      </c>
      <c r="H441">
        <v>3</v>
      </c>
      <c r="I441" t="s">
        <v>388</v>
      </c>
      <c r="J441" t="s">
        <v>389</v>
      </c>
      <c r="K441" t="s">
        <v>390</v>
      </c>
      <c r="L441">
        <v>1346</v>
      </c>
      <c r="N441">
        <v>1009</v>
      </c>
      <c r="O441" t="s">
        <v>368</v>
      </c>
      <c r="P441" t="s">
        <v>368</v>
      </c>
      <c r="Q441">
        <v>1</v>
      </c>
      <c r="X441">
        <v>0.02</v>
      </c>
      <c r="Y441">
        <v>31.49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3</v>
      </c>
      <c r="AG441">
        <v>0.02</v>
      </c>
      <c r="AH441">
        <v>3</v>
      </c>
      <c r="AI441">
        <v>-1</v>
      </c>
      <c r="AJ441" t="s">
        <v>3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ROW(Source!A711)</f>
        <v>711</v>
      </c>
      <c r="B442">
        <v>1474090187</v>
      </c>
      <c r="C442">
        <v>1471522733</v>
      </c>
      <c r="D442">
        <v>1441819193</v>
      </c>
      <c r="E442">
        <v>15514512</v>
      </c>
      <c r="F442">
        <v>1</v>
      </c>
      <c r="G442">
        <v>15514512</v>
      </c>
      <c r="H442">
        <v>1</v>
      </c>
      <c r="I442" t="s">
        <v>355</v>
      </c>
      <c r="J442" t="s">
        <v>3</v>
      </c>
      <c r="K442" t="s">
        <v>356</v>
      </c>
      <c r="L442">
        <v>1191</v>
      </c>
      <c r="N442">
        <v>1013</v>
      </c>
      <c r="O442" t="s">
        <v>357</v>
      </c>
      <c r="P442" t="s">
        <v>357</v>
      </c>
      <c r="Q442">
        <v>1</v>
      </c>
      <c r="X442">
        <v>0.4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1</v>
      </c>
      <c r="AF442" t="s">
        <v>197</v>
      </c>
      <c r="AG442">
        <v>0.41600000000000004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ROW(Source!A711)</f>
        <v>711</v>
      </c>
      <c r="B443">
        <v>1474090188</v>
      </c>
      <c r="C443">
        <v>1471522733</v>
      </c>
      <c r="D443">
        <v>1441836235</v>
      </c>
      <c r="E443">
        <v>1</v>
      </c>
      <c r="F443">
        <v>1</v>
      </c>
      <c r="G443">
        <v>15514512</v>
      </c>
      <c r="H443">
        <v>3</v>
      </c>
      <c r="I443" t="s">
        <v>388</v>
      </c>
      <c r="J443" t="s">
        <v>389</v>
      </c>
      <c r="K443" t="s">
        <v>390</v>
      </c>
      <c r="L443">
        <v>1346</v>
      </c>
      <c r="N443">
        <v>1009</v>
      </c>
      <c r="O443" t="s">
        <v>368</v>
      </c>
      <c r="P443" t="s">
        <v>368</v>
      </c>
      <c r="Q443">
        <v>1</v>
      </c>
      <c r="X443">
        <v>0.04</v>
      </c>
      <c r="Y443">
        <v>31.49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0</v>
      </c>
      <c r="AF443" t="s">
        <v>3</v>
      </c>
      <c r="AG443">
        <v>0.04</v>
      </c>
      <c r="AH443">
        <v>3</v>
      </c>
      <c r="AI443">
        <v>-1</v>
      </c>
      <c r="AJ443" t="s">
        <v>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ROW(Source!A712)</f>
        <v>712</v>
      </c>
      <c r="B444">
        <v>1474090189</v>
      </c>
      <c r="C444">
        <v>1471522740</v>
      </c>
      <c r="D444">
        <v>1441819193</v>
      </c>
      <c r="E444">
        <v>15514512</v>
      </c>
      <c r="F444">
        <v>1</v>
      </c>
      <c r="G444">
        <v>15514512</v>
      </c>
      <c r="H444">
        <v>1</v>
      </c>
      <c r="I444" t="s">
        <v>355</v>
      </c>
      <c r="J444" t="s">
        <v>3</v>
      </c>
      <c r="K444" t="s">
        <v>356</v>
      </c>
      <c r="L444">
        <v>1191</v>
      </c>
      <c r="N444">
        <v>1013</v>
      </c>
      <c r="O444" t="s">
        <v>357</v>
      </c>
      <c r="P444" t="s">
        <v>357</v>
      </c>
      <c r="Q444">
        <v>1</v>
      </c>
      <c r="X444">
        <v>0.26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1</v>
      </c>
      <c r="AE444">
        <v>1</v>
      </c>
      <c r="AF444" t="s">
        <v>69</v>
      </c>
      <c r="AG444">
        <v>2.08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ROW(Source!A712)</f>
        <v>712</v>
      </c>
      <c r="B445">
        <v>1474090190</v>
      </c>
      <c r="C445">
        <v>1471522740</v>
      </c>
      <c r="D445">
        <v>1441836235</v>
      </c>
      <c r="E445">
        <v>1</v>
      </c>
      <c r="F445">
        <v>1</v>
      </c>
      <c r="G445">
        <v>15514512</v>
      </c>
      <c r="H445">
        <v>3</v>
      </c>
      <c r="I445" t="s">
        <v>388</v>
      </c>
      <c r="J445" t="s">
        <v>389</v>
      </c>
      <c r="K445" t="s">
        <v>390</v>
      </c>
      <c r="L445">
        <v>1346</v>
      </c>
      <c r="N445">
        <v>1009</v>
      </c>
      <c r="O445" t="s">
        <v>368</v>
      </c>
      <c r="P445" t="s">
        <v>368</v>
      </c>
      <c r="Q445">
        <v>1</v>
      </c>
      <c r="X445">
        <v>0.04</v>
      </c>
      <c r="Y445">
        <v>31.49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69</v>
      </c>
      <c r="AG445">
        <v>0.32</v>
      </c>
      <c r="AH445">
        <v>3</v>
      </c>
      <c r="AI445">
        <v>-1</v>
      </c>
      <c r="AJ445" t="s">
        <v>3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ROW(Source!A713)</f>
        <v>713</v>
      </c>
      <c r="B446">
        <v>1474090191</v>
      </c>
      <c r="C446">
        <v>1471522747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355</v>
      </c>
      <c r="J446" t="s">
        <v>3</v>
      </c>
      <c r="K446" t="s">
        <v>356</v>
      </c>
      <c r="L446">
        <v>1191</v>
      </c>
      <c r="N446">
        <v>1013</v>
      </c>
      <c r="O446" t="s">
        <v>357</v>
      </c>
      <c r="P446" t="s">
        <v>357</v>
      </c>
      <c r="Q446">
        <v>1</v>
      </c>
      <c r="X446">
        <v>0.5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57</v>
      </c>
      <c r="AG446">
        <v>2</v>
      </c>
      <c r="AH446">
        <v>3</v>
      </c>
      <c r="AI446">
        <v>-1</v>
      </c>
      <c r="AJ446" t="s">
        <v>3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ROW(Source!A714)</f>
        <v>714</v>
      </c>
      <c r="B447">
        <v>1474090192</v>
      </c>
      <c r="C447">
        <v>1471522751</v>
      </c>
      <c r="D447">
        <v>1441819193</v>
      </c>
      <c r="E447">
        <v>15514512</v>
      </c>
      <c r="F447">
        <v>1</v>
      </c>
      <c r="G447">
        <v>15514512</v>
      </c>
      <c r="H447">
        <v>1</v>
      </c>
      <c r="I447" t="s">
        <v>355</v>
      </c>
      <c r="J447" t="s">
        <v>3</v>
      </c>
      <c r="K447" t="s">
        <v>356</v>
      </c>
      <c r="L447">
        <v>1191</v>
      </c>
      <c r="N447">
        <v>1013</v>
      </c>
      <c r="O447" t="s">
        <v>357</v>
      </c>
      <c r="P447" t="s">
        <v>357</v>
      </c>
      <c r="Q447">
        <v>1</v>
      </c>
      <c r="X447">
        <v>1.76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1</v>
      </c>
      <c r="AF447" t="s">
        <v>3</v>
      </c>
      <c r="AG447">
        <v>1.76</v>
      </c>
      <c r="AH447">
        <v>3</v>
      </c>
      <c r="AI447">
        <v>-1</v>
      </c>
      <c r="AJ447" t="s">
        <v>3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ROW(Source!A715)</f>
        <v>715</v>
      </c>
      <c r="B448">
        <v>1474090193</v>
      </c>
      <c r="C448">
        <v>1471522755</v>
      </c>
      <c r="D448">
        <v>1441819193</v>
      </c>
      <c r="E448">
        <v>15514512</v>
      </c>
      <c r="F448">
        <v>1</v>
      </c>
      <c r="G448">
        <v>15514512</v>
      </c>
      <c r="H448">
        <v>1</v>
      </c>
      <c r="I448" t="s">
        <v>355</v>
      </c>
      <c r="J448" t="s">
        <v>3</v>
      </c>
      <c r="K448" t="s">
        <v>356</v>
      </c>
      <c r="L448">
        <v>1191</v>
      </c>
      <c r="N448">
        <v>1013</v>
      </c>
      <c r="O448" t="s">
        <v>357</v>
      </c>
      <c r="P448" t="s">
        <v>357</v>
      </c>
      <c r="Q448">
        <v>1</v>
      </c>
      <c r="X448">
        <v>3.38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1</v>
      </c>
      <c r="AF448" t="s">
        <v>3</v>
      </c>
      <c r="AG448">
        <v>3.38</v>
      </c>
      <c r="AH448">
        <v>3</v>
      </c>
      <c r="AI448">
        <v>-1</v>
      </c>
      <c r="AJ448" t="s">
        <v>3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ROW(Source!A715)</f>
        <v>715</v>
      </c>
      <c r="B449">
        <v>1474090194</v>
      </c>
      <c r="C449">
        <v>1471522755</v>
      </c>
      <c r="D449">
        <v>1441836235</v>
      </c>
      <c r="E449">
        <v>1</v>
      </c>
      <c r="F449">
        <v>1</v>
      </c>
      <c r="G449">
        <v>15514512</v>
      </c>
      <c r="H449">
        <v>3</v>
      </c>
      <c r="I449" t="s">
        <v>388</v>
      </c>
      <c r="J449" t="s">
        <v>389</v>
      </c>
      <c r="K449" t="s">
        <v>390</v>
      </c>
      <c r="L449">
        <v>1346</v>
      </c>
      <c r="N449">
        <v>1009</v>
      </c>
      <c r="O449" t="s">
        <v>368</v>
      </c>
      <c r="P449" t="s">
        <v>368</v>
      </c>
      <c r="Q449">
        <v>1</v>
      </c>
      <c r="X449">
        <v>0.1</v>
      </c>
      <c r="Y449">
        <v>31.49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0</v>
      </c>
      <c r="AF449" t="s">
        <v>3</v>
      </c>
      <c r="AG449">
        <v>0.1</v>
      </c>
      <c r="AH449">
        <v>3</v>
      </c>
      <c r="AI449">
        <v>-1</v>
      </c>
      <c r="AJ449" t="s">
        <v>3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ROW(Source!A715)</f>
        <v>715</v>
      </c>
      <c r="B450">
        <v>1474090195</v>
      </c>
      <c r="C450">
        <v>1471522755</v>
      </c>
      <c r="D450">
        <v>1441821379</v>
      </c>
      <c r="E450">
        <v>15514512</v>
      </c>
      <c r="F450">
        <v>1</v>
      </c>
      <c r="G450">
        <v>15514512</v>
      </c>
      <c r="H450">
        <v>3</v>
      </c>
      <c r="I450" t="s">
        <v>423</v>
      </c>
      <c r="J450" t="s">
        <v>3</v>
      </c>
      <c r="K450" t="s">
        <v>424</v>
      </c>
      <c r="L450">
        <v>1346</v>
      </c>
      <c r="N450">
        <v>1009</v>
      </c>
      <c r="O450" t="s">
        <v>368</v>
      </c>
      <c r="P450" t="s">
        <v>368</v>
      </c>
      <c r="Q450">
        <v>1</v>
      </c>
      <c r="X450">
        <v>2.4E-2</v>
      </c>
      <c r="Y450">
        <v>89.933959999999999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3</v>
      </c>
      <c r="AG450">
        <v>2.4E-2</v>
      </c>
      <c r="AH450">
        <v>3</v>
      </c>
      <c r="AI450">
        <v>-1</v>
      </c>
      <c r="AJ450" t="s">
        <v>3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ROW(Source!A716)</f>
        <v>716</v>
      </c>
      <c r="B451">
        <v>1474090196</v>
      </c>
      <c r="C451">
        <v>1471522765</v>
      </c>
      <c r="D451">
        <v>1441819193</v>
      </c>
      <c r="E451">
        <v>15514512</v>
      </c>
      <c r="F451">
        <v>1</v>
      </c>
      <c r="G451">
        <v>15514512</v>
      </c>
      <c r="H451">
        <v>1</v>
      </c>
      <c r="I451" t="s">
        <v>355</v>
      </c>
      <c r="J451" t="s">
        <v>3</v>
      </c>
      <c r="K451" t="s">
        <v>356</v>
      </c>
      <c r="L451">
        <v>1191</v>
      </c>
      <c r="N451">
        <v>1013</v>
      </c>
      <c r="O451" t="s">
        <v>357</v>
      </c>
      <c r="P451" t="s">
        <v>357</v>
      </c>
      <c r="Q451">
        <v>1</v>
      </c>
      <c r="X451">
        <v>6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1</v>
      </c>
      <c r="AF451" t="s">
        <v>57</v>
      </c>
      <c r="AG451">
        <v>24</v>
      </c>
      <c r="AH451">
        <v>3</v>
      </c>
      <c r="AI451">
        <v>-1</v>
      </c>
      <c r="AJ451" t="s">
        <v>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ROW(Source!A716)</f>
        <v>716</v>
      </c>
      <c r="B452">
        <v>1474090197</v>
      </c>
      <c r="C452">
        <v>1471522765</v>
      </c>
      <c r="D452">
        <v>1441834258</v>
      </c>
      <c r="E452">
        <v>1</v>
      </c>
      <c r="F452">
        <v>1</v>
      </c>
      <c r="G452">
        <v>15514512</v>
      </c>
      <c r="H452">
        <v>2</v>
      </c>
      <c r="I452" t="s">
        <v>371</v>
      </c>
      <c r="J452" t="s">
        <v>372</v>
      </c>
      <c r="K452" t="s">
        <v>373</v>
      </c>
      <c r="L452">
        <v>1368</v>
      </c>
      <c r="N452">
        <v>1011</v>
      </c>
      <c r="O452" t="s">
        <v>361</v>
      </c>
      <c r="P452" t="s">
        <v>361</v>
      </c>
      <c r="Q452">
        <v>1</v>
      </c>
      <c r="X452">
        <v>0.7</v>
      </c>
      <c r="Y452">
        <v>0</v>
      </c>
      <c r="Z452">
        <v>1303.01</v>
      </c>
      <c r="AA452">
        <v>826.2</v>
      </c>
      <c r="AB452">
        <v>0</v>
      </c>
      <c r="AC452">
        <v>0</v>
      </c>
      <c r="AD452">
        <v>1</v>
      </c>
      <c r="AE452">
        <v>0</v>
      </c>
      <c r="AF452" t="s">
        <v>57</v>
      </c>
      <c r="AG452">
        <v>2.8</v>
      </c>
      <c r="AH452">
        <v>3</v>
      </c>
      <c r="AI452">
        <v>-1</v>
      </c>
      <c r="AJ452" t="s">
        <v>3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ROW(Source!A716)</f>
        <v>716</v>
      </c>
      <c r="B453">
        <v>1474090198</v>
      </c>
      <c r="C453">
        <v>1471522765</v>
      </c>
      <c r="D453">
        <v>1441836235</v>
      </c>
      <c r="E453">
        <v>1</v>
      </c>
      <c r="F453">
        <v>1</v>
      </c>
      <c r="G453">
        <v>15514512</v>
      </c>
      <c r="H453">
        <v>3</v>
      </c>
      <c r="I453" t="s">
        <v>388</v>
      </c>
      <c r="J453" t="s">
        <v>389</v>
      </c>
      <c r="K453" t="s">
        <v>390</v>
      </c>
      <c r="L453">
        <v>1346</v>
      </c>
      <c r="N453">
        <v>1009</v>
      </c>
      <c r="O453" t="s">
        <v>368</v>
      </c>
      <c r="P453" t="s">
        <v>368</v>
      </c>
      <c r="Q453">
        <v>1</v>
      </c>
      <c r="X453">
        <v>0.03</v>
      </c>
      <c r="Y453">
        <v>31.49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57</v>
      </c>
      <c r="AG453">
        <v>0.12</v>
      </c>
      <c r="AH453">
        <v>3</v>
      </c>
      <c r="AI453">
        <v>-1</v>
      </c>
      <c r="AJ453" t="s">
        <v>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ROW(Source!A717)</f>
        <v>717</v>
      </c>
      <c r="B454">
        <v>1474090199</v>
      </c>
      <c r="C454">
        <v>1471522775</v>
      </c>
      <c r="D454">
        <v>1441819193</v>
      </c>
      <c r="E454">
        <v>15514512</v>
      </c>
      <c r="F454">
        <v>1</v>
      </c>
      <c r="G454">
        <v>15514512</v>
      </c>
      <c r="H454">
        <v>1</v>
      </c>
      <c r="I454" t="s">
        <v>355</v>
      </c>
      <c r="J454" t="s">
        <v>3</v>
      </c>
      <c r="K454" t="s">
        <v>356</v>
      </c>
      <c r="L454">
        <v>1191</v>
      </c>
      <c r="N454">
        <v>1013</v>
      </c>
      <c r="O454" t="s">
        <v>357</v>
      </c>
      <c r="P454" t="s">
        <v>357</v>
      </c>
      <c r="Q454">
        <v>1</v>
      </c>
      <c r="X454">
        <v>0.4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1</v>
      </c>
      <c r="AF454" t="s">
        <v>3</v>
      </c>
      <c r="AG454">
        <v>0.4</v>
      </c>
      <c r="AH454">
        <v>3</v>
      </c>
      <c r="AI454">
        <v>-1</v>
      </c>
      <c r="AJ454" t="s">
        <v>3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ROW(Source!A717)</f>
        <v>717</v>
      </c>
      <c r="B455">
        <v>1474090200</v>
      </c>
      <c r="C455">
        <v>1471522775</v>
      </c>
      <c r="D455">
        <v>1441836235</v>
      </c>
      <c r="E455">
        <v>1</v>
      </c>
      <c r="F455">
        <v>1</v>
      </c>
      <c r="G455">
        <v>15514512</v>
      </c>
      <c r="H455">
        <v>3</v>
      </c>
      <c r="I455" t="s">
        <v>388</v>
      </c>
      <c r="J455" t="s">
        <v>389</v>
      </c>
      <c r="K455" t="s">
        <v>390</v>
      </c>
      <c r="L455">
        <v>1346</v>
      </c>
      <c r="N455">
        <v>1009</v>
      </c>
      <c r="O455" t="s">
        <v>368</v>
      </c>
      <c r="P455" t="s">
        <v>368</v>
      </c>
      <c r="Q455">
        <v>1</v>
      </c>
      <c r="X455">
        <v>0.2</v>
      </c>
      <c r="Y455">
        <v>31.49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0.2</v>
      </c>
      <c r="AH455">
        <v>3</v>
      </c>
      <c r="AI455">
        <v>-1</v>
      </c>
      <c r="AJ455" t="s">
        <v>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ROW(Source!A718)</f>
        <v>718</v>
      </c>
      <c r="B456">
        <v>1474090201</v>
      </c>
      <c r="C456">
        <v>1471522782</v>
      </c>
      <c r="D456">
        <v>1441819193</v>
      </c>
      <c r="E456">
        <v>15514512</v>
      </c>
      <c r="F456">
        <v>1</v>
      </c>
      <c r="G456">
        <v>15514512</v>
      </c>
      <c r="H456">
        <v>1</v>
      </c>
      <c r="I456" t="s">
        <v>355</v>
      </c>
      <c r="J456" t="s">
        <v>3</v>
      </c>
      <c r="K456" t="s">
        <v>356</v>
      </c>
      <c r="L456">
        <v>1191</v>
      </c>
      <c r="N456">
        <v>1013</v>
      </c>
      <c r="O456" t="s">
        <v>357</v>
      </c>
      <c r="P456" t="s">
        <v>357</v>
      </c>
      <c r="Q456">
        <v>1</v>
      </c>
      <c r="X456">
        <v>0.18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1</v>
      </c>
      <c r="AF456" t="s">
        <v>3</v>
      </c>
      <c r="AG456">
        <v>0.18</v>
      </c>
      <c r="AH456">
        <v>3</v>
      </c>
      <c r="AI456">
        <v>-1</v>
      </c>
      <c r="AJ456" t="s">
        <v>3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ROW(Source!A718)</f>
        <v>718</v>
      </c>
      <c r="B457">
        <v>1474090202</v>
      </c>
      <c r="C457">
        <v>1471522782</v>
      </c>
      <c r="D457">
        <v>1441836235</v>
      </c>
      <c r="E457">
        <v>1</v>
      </c>
      <c r="F457">
        <v>1</v>
      </c>
      <c r="G457">
        <v>15514512</v>
      </c>
      <c r="H457">
        <v>3</v>
      </c>
      <c r="I457" t="s">
        <v>388</v>
      </c>
      <c r="J457" t="s">
        <v>389</v>
      </c>
      <c r="K457" t="s">
        <v>390</v>
      </c>
      <c r="L457">
        <v>1346</v>
      </c>
      <c r="N457">
        <v>1009</v>
      </c>
      <c r="O457" t="s">
        <v>368</v>
      </c>
      <c r="P457" t="s">
        <v>368</v>
      </c>
      <c r="Q457">
        <v>1</v>
      </c>
      <c r="X457">
        <v>0.2</v>
      </c>
      <c r="Y457">
        <v>31.49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</v>
      </c>
      <c r="AG457">
        <v>0.2</v>
      </c>
      <c r="AH457">
        <v>3</v>
      </c>
      <c r="AI457">
        <v>-1</v>
      </c>
      <c r="AJ457" t="s">
        <v>3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ROW(Source!A719)</f>
        <v>719</v>
      </c>
      <c r="B458">
        <v>1474090203</v>
      </c>
      <c r="C458">
        <v>1471522789</v>
      </c>
      <c r="D458">
        <v>1441819193</v>
      </c>
      <c r="E458">
        <v>15514512</v>
      </c>
      <c r="F458">
        <v>1</v>
      </c>
      <c r="G458">
        <v>15514512</v>
      </c>
      <c r="H458">
        <v>1</v>
      </c>
      <c r="I458" t="s">
        <v>355</v>
      </c>
      <c r="J458" t="s">
        <v>3</v>
      </c>
      <c r="K458" t="s">
        <v>356</v>
      </c>
      <c r="L458">
        <v>1191</v>
      </c>
      <c r="N458">
        <v>1013</v>
      </c>
      <c r="O458" t="s">
        <v>357</v>
      </c>
      <c r="P458" t="s">
        <v>357</v>
      </c>
      <c r="Q458">
        <v>1</v>
      </c>
      <c r="X458">
        <v>0.24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1</v>
      </c>
      <c r="AF458" t="s">
        <v>156</v>
      </c>
      <c r="AG458">
        <v>0.72</v>
      </c>
      <c r="AH458">
        <v>3</v>
      </c>
      <c r="AI458">
        <v>-1</v>
      </c>
      <c r="AJ458" t="s">
        <v>3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ROW(Source!A720)</f>
        <v>720</v>
      </c>
      <c r="B459">
        <v>1474090204</v>
      </c>
      <c r="C459">
        <v>1471522793</v>
      </c>
      <c r="D459">
        <v>1441819193</v>
      </c>
      <c r="E459">
        <v>15514512</v>
      </c>
      <c r="F459">
        <v>1</v>
      </c>
      <c r="G459">
        <v>15514512</v>
      </c>
      <c r="H459">
        <v>1</v>
      </c>
      <c r="I459" t="s">
        <v>355</v>
      </c>
      <c r="J459" t="s">
        <v>3</v>
      </c>
      <c r="K459" t="s">
        <v>356</v>
      </c>
      <c r="L459">
        <v>1191</v>
      </c>
      <c r="N459">
        <v>1013</v>
      </c>
      <c r="O459" t="s">
        <v>357</v>
      </c>
      <c r="P459" t="s">
        <v>357</v>
      </c>
      <c r="Q459">
        <v>1</v>
      </c>
      <c r="X459">
        <v>10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1</v>
      </c>
      <c r="AF459" t="s">
        <v>3</v>
      </c>
      <c r="AG459">
        <v>10</v>
      </c>
      <c r="AH459">
        <v>3</v>
      </c>
      <c r="AI459">
        <v>-1</v>
      </c>
      <c r="AJ459" t="s">
        <v>3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ROW(Source!A720)</f>
        <v>720</v>
      </c>
      <c r="B460">
        <v>1474090205</v>
      </c>
      <c r="C460">
        <v>1471522793</v>
      </c>
      <c r="D460">
        <v>1441836237</v>
      </c>
      <c r="E460">
        <v>1</v>
      </c>
      <c r="F460">
        <v>1</v>
      </c>
      <c r="G460">
        <v>15514512</v>
      </c>
      <c r="H460">
        <v>3</v>
      </c>
      <c r="I460" t="s">
        <v>409</v>
      </c>
      <c r="J460" t="s">
        <v>410</v>
      </c>
      <c r="K460" t="s">
        <v>411</v>
      </c>
      <c r="L460">
        <v>1346</v>
      </c>
      <c r="N460">
        <v>1009</v>
      </c>
      <c r="O460" t="s">
        <v>368</v>
      </c>
      <c r="P460" t="s">
        <v>368</v>
      </c>
      <c r="Q460">
        <v>1</v>
      </c>
      <c r="X460">
        <v>0.06</v>
      </c>
      <c r="Y460">
        <v>375.16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3</v>
      </c>
      <c r="AG460">
        <v>0.06</v>
      </c>
      <c r="AH460">
        <v>3</v>
      </c>
      <c r="AI460">
        <v>-1</v>
      </c>
      <c r="AJ460" t="s">
        <v>3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ROW(Source!A721)</f>
        <v>721</v>
      </c>
      <c r="B461">
        <v>1474090206</v>
      </c>
      <c r="C461">
        <v>1471522800</v>
      </c>
      <c r="D461">
        <v>1441819193</v>
      </c>
      <c r="E461">
        <v>15514512</v>
      </c>
      <c r="F461">
        <v>1</v>
      </c>
      <c r="G461">
        <v>15514512</v>
      </c>
      <c r="H461">
        <v>1</v>
      </c>
      <c r="I461" t="s">
        <v>355</v>
      </c>
      <c r="J461" t="s">
        <v>3</v>
      </c>
      <c r="K461" t="s">
        <v>356</v>
      </c>
      <c r="L461">
        <v>1191</v>
      </c>
      <c r="N461">
        <v>1013</v>
      </c>
      <c r="O461" t="s">
        <v>357</v>
      </c>
      <c r="P461" t="s">
        <v>357</v>
      </c>
      <c r="Q461">
        <v>1</v>
      </c>
      <c r="X461">
        <v>0.33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1</v>
      </c>
      <c r="AF461" t="s">
        <v>3</v>
      </c>
      <c r="AG461">
        <v>0.33</v>
      </c>
      <c r="AH461">
        <v>3</v>
      </c>
      <c r="AI461">
        <v>-1</v>
      </c>
      <c r="AJ461" t="s">
        <v>3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ROW(Source!A722)</f>
        <v>722</v>
      </c>
      <c r="B462">
        <v>1474090207</v>
      </c>
      <c r="C462">
        <v>1471522804</v>
      </c>
      <c r="D462">
        <v>1441819193</v>
      </c>
      <c r="E462">
        <v>15514512</v>
      </c>
      <c r="F462">
        <v>1</v>
      </c>
      <c r="G462">
        <v>15514512</v>
      </c>
      <c r="H462">
        <v>1</v>
      </c>
      <c r="I462" t="s">
        <v>355</v>
      </c>
      <c r="J462" t="s">
        <v>3</v>
      </c>
      <c r="K462" t="s">
        <v>356</v>
      </c>
      <c r="L462">
        <v>1191</v>
      </c>
      <c r="N462">
        <v>1013</v>
      </c>
      <c r="O462" t="s">
        <v>357</v>
      </c>
      <c r="P462" t="s">
        <v>357</v>
      </c>
      <c r="Q462">
        <v>1</v>
      </c>
      <c r="X462">
        <v>10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1</v>
      </c>
      <c r="AE462">
        <v>1</v>
      </c>
      <c r="AF462" t="s">
        <v>3</v>
      </c>
      <c r="AG462">
        <v>10</v>
      </c>
      <c r="AH462">
        <v>3</v>
      </c>
      <c r="AI462">
        <v>-1</v>
      </c>
      <c r="AJ462" t="s">
        <v>3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ROW(Source!A722)</f>
        <v>722</v>
      </c>
      <c r="B463">
        <v>1474090208</v>
      </c>
      <c r="C463">
        <v>1471522804</v>
      </c>
      <c r="D463">
        <v>1441836237</v>
      </c>
      <c r="E463">
        <v>1</v>
      </c>
      <c r="F463">
        <v>1</v>
      </c>
      <c r="G463">
        <v>15514512</v>
      </c>
      <c r="H463">
        <v>3</v>
      </c>
      <c r="I463" t="s">
        <v>409</v>
      </c>
      <c r="J463" t="s">
        <v>410</v>
      </c>
      <c r="K463" t="s">
        <v>411</v>
      </c>
      <c r="L463">
        <v>1346</v>
      </c>
      <c r="N463">
        <v>1009</v>
      </c>
      <c r="O463" t="s">
        <v>368</v>
      </c>
      <c r="P463" t="s">
        <v>368</v>
      </c>
      <c r="Q463">
        <v>1</v>
      </c>
      <c r="X463">
        <v>0.06</v>
      </c>
      <c r="Y463">
        <v>375.16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3</v>
      </c>
      <c r="AG463">
        <v>0.06</v>
      </c>
      <c r="AH463">
        <v>3</v>
      </c>
      <c r="AI463">
        <v>-1</v>
      </c>
      <c r="AJ463" t="s">
        <v>3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ROW(Source!A723)</f>
        <v>723</v>
      </c>
      <c r="B464">
        <v>1474090209</v>
      </c>
      <c r="C464">
        <v>1471522817</v>
      </c>
      <c r="D464">
        <v>1441819193</v>
      </c>
      <c r="E464">
        <v>15514512</v>
      </c>
      <c r="F464">
        <v>1</v>
      </c>
      <c r="G464">
        <v>15514512</v>
      </c>
      <c r="H464">
        <v>1</v>
      </c>
      <c r="I464" t="s">
        <v>355</v>
      </c>
      <c r="J464" t="s">
        <v>3</v>
      </c>
      <c r="K464" t="s">
        <v>356</v>
      </c>
      <c r="L464">
        <v>1191</v>
      </c>
      <c r="N464">
        <v>1013</v>
      </c>
      <c r="O464" t="s">
        <v>357</v>
      </c>
      <c r="P464" t="s">
        <v>357</v>
      </c>
      <c r="Q464">
        <v>1</v>
      </c>
      <c r="X464">
        <v>0.33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1</v>
      </c>
      <c r="AF464" t="s">
        <v>3</v>
      </c>
      <c r="AG464">
        <v>0.33</v>
      </c>
      <c r="AH464">
        <v>3</v>
      </c>
      <c r="AI464">
        <v>-1</v>
      </c>
      <c r="AJ464" t="s">
        <v>3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ROW(Source!A724)</f>
        <v>724</v>
      </c>
      <c r="B465">
        <v>1474090210</v>
      </c>
      <c r="C465">
        <v>1471522847</v>
      </c>
      <c r="D465">
        <v>1441819193</v>
      </c>
      <c r="E465">
        <v>15514512</v>
      </c>
      <c r="F465">
        <v>1</v>
      </c>
      <c r="G465">
        <v>15514512</v>
      </c>
      <c r="H465">
        <v>1</v>
      </c>
      <c r="I465" t="s">
        <v>355</v>
      </c>
      <c r="J465" t="s">
        <v>3</v>
      </c>
      <c r="K465" t="s">
        <v>356</v>
      </c>
      <c r="L465">
        <v>1191</v>
      </c>
      <c r="N465">
        <v>1013</v>
      </c>
      <c r="O465" t="s">
        <v>357</v>
      </c>
      <c r="P465" t="s">
        <v>357</v>
      </c>
      <c r="Q465">
        <v>1</v>
      </c>
      <c r="X465">
        <v>10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1</v>
      </c>
      <c r="AF465" t="s">
        <v>3</v>
      </c>
      <c r="AG465">
        <v>10</v>
      </c>
      <c r="AH465">
        <v>3</v>
      </c>
      <c r="AI465">
        <v>-1</v>
      </c>
      <c r="AJ465" t="s">
        <v>3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ROW(Source!A724)</f>
        <v>724</v>
      </c>
      <c r="B466">
        <v>1474090211</v>
      </c>
      <c r="C466">
        <v>1471522847</v>
      </c>
      <c r="D466">
        <v>1441836237</v>
      </c>
      <c r="E466">
        <v>1</v>
      </c>
      <c r="F466">
        <v>1</v>
      </c>
      <c r="G466">
        <v>15514512</v>
      </c>
      <c r="H466">
        <v>3</v>
      </c>
      <c r="I466" t="s">
        <v>409</v>
      </c>
      <c r="J466" t="s">
        <v>410</v>
      </c>
      <c r="K466" t="s">
        <v>411</v>
      </c>
      <c r="L466">
        <v>1346</v>
      </c>
      <c r="N466">
        <v>1009</v>
      </c>
      <c r="O466" t="s">
        <v>368</v>
      </c>
      <c r="P466" t="s">
        <v>368</v>
      </c>
      <c r="Q466">
        <v>1</v>
      </c>
      <c r="X466">
        <v>0.06</v>
      </c>
      <c r="Y466">
        <v>375.16</v>
      </c>
      <c r="Z466">
        <v>0</v>
      </c>
      <c r="AA466">
        <v>0</v>
      </c>
      <c r="AB466">
        <v>0</v>
      </c>
      <c r="AC466">
        <v>0</v>
      </c>
      <c r="AD466">
        <v>1</v>
      </c>
      <c r="AE466">
        <v>0</v>
      </c>
      <c r="AF466" t="s">
        <v>3</v>
      </c>
      <c r="AG466">
        <v>0.06</v>
      </c>
      <c r="AH466">
        <v>3</v>
      </c>
      <c r="AI466">
        <v>-1</v>
      </c>
      <c r="AJ466" t="s">
        <v>3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ROW(Source!A725)</f>
        <v>725</v>
      </c>
      <c r="B467">
        <v>1474090212</v>
      </c>
      <c r="C467">
        <v>1471522883</v>
      </c>
      <c r="D467">
        <v>1441819193</v>
      </c>
      <c r="E467">
        <v>15514512</v>
      </c>
      <c r="F467">
        <v>1</v>
      </c>
      <c r="G467">
        <v>15514512</v>
      </c>
      <c r="H467">
        <v>1</v>
      </c>
      <c r="I467" t="s">
        <v>355</v>
      </c>
      <c r="J467" t="s">
        <v>3</v>
      </c>
      <c r="K467" t="s">
        <v>356</v>
      </c>
      <c r="L467">
        <v>1191</v>
      </c>
      <c r="N467">
        <v>1013</v>
      </c>
      <c r="O467" t="s">
        <v>357</v>
      </c>
      <c r="P467" t="s">
        <v>357</v>
      </c>
      <c r="Q467">
        <v>1</v>
      </c>
      <c r="X467">
        <v>0.33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1</v>
      </c>
      <c r="AF467" t="s">
        <v>3</v>
      </c>
      <c r="AG467">
        <v>0.33</v>
      </c>
      <c r="AH467">
        <v>3</v>
      </c>
      <c r="AI467">
        <v>-1</v>
      </c>
      <c r="AJ467" t="s">
        <v>3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Офис продакшн и туалетные модули_на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2025-12-10T15:10:14Z</dcterms:created>
  <dcterms:modified xsi:type="dcterms:W3CDTF">2025-12-11T13:26:07Z</dcterms:modified>
</cp:coreProperties>
</file>